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ocumenttasks/documenttask1.xml" ContentType="application/vnd.ms-excel.documenttasks+xml"/>
  <Override PartName="/xl/comments5.xml" ContentType="application/vnd.openxmlformats-officedocument.spreadsheetml.comments+xml"/>
  <Override PartName="/xl/threadedComments/threadedComment5.xml" ContentType="application/vnd.ms-excel.threadedcomments+xml"/>
  <Override PartName="/xl/documenttasks/documenttask2.xml" ContentType="application/vnd.ms-excel.documenttask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drawings/drawing12.xml" ContentType="application/vnd.openxmlformats-officedocument.drawing+xml"/>
  <Override PartName="/xl/comments9.xml" ContentType="application/vnd.openxmlformats-officedocument.spreadsheetml.comments+xml"/>
  <Override PartName="/xl/threadedComments/threadedComment9.xml" ContentType="application/vnd.ms-excel.threadedcomments+xml"/>
  <Override PartName="/xl/drawings/drawing13.xml" ContentType="application/vnd.openxmlformats-officedocument.drawing+xml"/>
  <Override PartName="/xl/comments10.xml" ContentType="application/vnd.openxmlformats-officedocument.spreadsheetml.comments+xml"/>
  <Override PartName="/xl/threadedComments/threadedComment10.xml" ContentType="application/vnd.ms-excel.threadedcomments+xml"/>
  <Override PartName="/xl/drawings/drawing14.xml" ContentType="application/vnd.openxmlformats-officedocument.drawing+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comments13.xml" ContentType="application/vnd.openxmlformats-officedocument.spreadsheetml.comments+xml"/>
  <Override PartName="/xl/threadedComments/threadedComment1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arup.sharepoint.com/teams/prj-29726200/Shared Documents/0_MTERA Tribal Data/GHG Measure Tool/"/>
    </mc:Choice>
  </mc:AlternateContent>
  <xr:revisionPtr revIDLastSave="855" documentId="8_{26CD5D62-DA22-492B-911A-B198B71A797D}" xr6:coauthVersionLast="47" xr6:coauthVersionMax="47" xr10:uidLastSave="{02D9DAFB-708B-48BB-8AA3-2A0D55C1B418}"/>
  <workbookProtection workbookAlgorithmName="SHA-512" workbookHashValue="lJHTHz7poIooTPZvRsb44OeLLxUJfHHi1+TqJYxe55ByYJqqceM+rbP0hM3hH0ZyhLwvLk0x8PCWTVZL/Qobfg==" workbookSaltValue="+bTT64WBiMKdRdOqHwFrWg==" workbookSpinCount="100000" lockStructure="1"/>
  <bookViews>
    <workbookView xWindow="-19290" yWindow="-3890" windowWidth="19380" windowHeight="11460" tabRatio="665" xr2:uid="{00000000-000D-0000-FFFF-FFFF00000000}"/>
  </bookViews>
  <sheets>
    <sheet name="Tribal Measure Tool" sheetId="23" r:id="rId1"/>
    <sheet name="Tool Reference" sheetId="22" state="hidden" r:id="rId2"/>
    <sheet name="Tribal Baseline GHG Graphs" sheetId="39" r:id="rId3"/>
    <sheet name="Tribal Baseline Graphs_full" sheetId="34" state="hidden" r:id="rId4"/>
    <sheet name="Summary PCAP Table" sheetId="15" state="hidden" r:id="rId5"/>
    <sheet name="Summary PCAP Cost Data" sheetId="41" state="hidden" r:id="rId6"/>
    <sheet name="Cost Data" sheetId="37" state="hidden" r:id="rId7"/>
    <sheet name="Buildings" sheetId="26" state="hidden" r:id="rId8"/>
    <sheet name="Transportation" sheetId="27" state="hidden" r:id="rId9"/>
    <sheet name="Infrastructure" sheetId="28" state="hidden" r:id="rId10"/>
    <sheet name="Renewables_OLD" sheetId="32" state="hidden" r:id="rId11"/>
    <sheet name="Renewables" sheetId="40" state="hidden" r:id="rId12"/>
    <sheet name="Land Use" sheetId="30" state="hidden" r:id="rId13"/>
    <sheet name="Factors" sheetId="14" state="hidden" r:id="rId14"/>
    <sheet name="GHG Reduction Measures" sheetId="5" state="hidden" r:id="rId15"/>
  </sheets>
  <definedNames>
    <definedName name="_xlnm._FilterDatabase" localSheetId="6">'Cost Data'!$A$2:$C$2</definedName>
    <definedName name="_xlnm._FilterDatabase" localSheetId="5">'Summary PCAP Cost Data'!$A$2:$C$2</definedName>
    <definedName name="_xlnm._FilterDatabase" localSheetId="0">'Tribal Measure Tool'!$A$9:$F$9</definedName>
    <definedName name="Date" comment="{&quot;SkabelonDesign&quot;:{&quot;type&quot;:&quot;Text&quot;,&quot;binding&quot;:&quot;Doc.Prop.Date&quot;}}" localSheetId="13">#REF!</definedName>
    <definedName name="Date" comment="{&quot;SkabelonDesign&quot;:{&quot;type&quot;:&quot;Text&quot;,&quot;binding&quot;:&quot;Doc.Prop.Date&quot;}}">#REF!</definedName>
    <definedName name="Job_Number_Initials" comment="{&quot;SkabelonDesign&quot;:{&quot;type&quot;:&quot;Text&quot;,&quot;binding&quot;:&quot;Doc.Prop.JobNo_Initials&quot;}}" localSheetId="13">#REF!</definedName>
    <definedName name="Job_Number_Initials" comment="{&quot;SkabelonDesign&quot;:{&quot;type&quot;:&quot;Text&quot;,&quot;binding&quot;:&quot;Doc.Prop.JobNo_Initials&quot;}}">#REF!</definedName>
    <definedName name="Job_Title" comment="{&quot;SkabelonDesign&quot;:{&quot;type&quot;:&quot;Text&quot;,&quot;binding&quot;:&quot;Doc.Prop.JobTitle&quot;}}">#REF!</definedName>
    <definedName name="Population">'Tribal Measure Tool'!$H$7</definedName>
    <definedName name="_xlnm.Print_Area" localSheetId="4">'Summary PCAP Table'!$A$1:$I$39</definedName>
    <definedName name="State">'Tribal Measure Tool'!$H$8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2" l="1"/>
  <c r="E13" i="22"/>
  <c r="C13" i="22"/>
  <c r="X11" i="22" l="1"/>
  <c r="T11" i="22"/>
  <c r="B11" i="22"/>
  <c r="W11" i="22" s="1"/>
  <c r="A11" i="22"/>
  <c r="A5" i="22"/>
  <c r="Y11" i="22"/>
  <c r="H11" i="22"/>
  <c r="D11" i="22"/>
  <c r="D14" i="22" s="1"/>
  <c r="T5" i="22" l="1"/>
  <c r="J5" i="22"/>
  <c r="U11" i="22"/>
  <c r="Z11" i="22"/>
  <c r="O8" i="15" s="1"/>
  <c r="B38" i="32"/>
  <c r="AD5" i="22" l="1"/>
  <c r="O7" i="15"/>
  <c r="F25" i="26"/>
  <c r="M82" i="26"/>
  <c r="E31" i="37"/>
  <c r="R70" i="26"/>
  <c r="S71" i="26"/>
  <c r="S70" i="26"/>
  <c r="R71" i="26"/>
  <c r="P70" i="26"/>
  <c r="P71" i="26"/>
  <c r="F6" i="26"/>
  <c r="C6" i="26"/>
  <c r="J31" i="37"/>
  <c r="A13" i="26"/>
  <c r="J38" i="37" l="1"/>
  <c r="A5" i="26" l="1"/>
  <c r="G6" i="37"/>
  <c r="O2" i="15"/>
  <c r="O9" i="15" s="1"/>
  <c r="A9" i="26"/>
  <c r="P37" i="37"/>
  <c r="R37" i="37"/>
  <c r="O23" i="15" l="1"/>
  <c r="O27" i="15"/>
  <c r="O26" i="15"/>
  <c r="H37" i="37"/>
  <c r="T6" i="37"/>
  <c r="H4" i="41"/>
  <c r="H3" i="41"/>
  <c r="D14" i="26"/>
  <c r="B14" i="26"/>
  <c r="E14" i="26"/>
  <c r="C14" i="26"/>
  <c r="H33" i="37"/>
  <c r="J33" i="37" s="1"/>
  <c r="G29" i="41" l="1"/>
  <c r="V41" i="37"/>
  <c r="V40" i="37"/>
  <c r="C26" i="15"/>
  <c r="F17" i="28" l="1"/>
  <c r="E17" i="28"/>
  <c r="C17" i="28"/>
  <c r="L35" i="27"/>
  <c r="T23" i="23"/>
  <c r="T12" i="23"/>
  <c r="F14" i="30" l="1"/>
  <c r="G14" i="30"/>
  <c r="C10" i="30"/>
  <c r="G45" i="26"/>
  <c r="D14" i="30"/>
  <c r="E25" i="30"/>
  <c r="F10" i="30"/>
  <c r="G10" i="30" s="1"/>
  <c r="C6" i="30"/>
  <c r="D6" i="30" s="1"/>
  <c r="F9" i="30"/>
  <c r="A5" i="30"/>
  <c r="Q37" i="37"/>
  <c r="C20" i="27"/>
  <c r="J40" i="37" l="1"/>
  <c r="H42" i="37"/>
  <c r="H9" i="41"/>
  <c r="H55" i="37"/>
  <c r="H16" i="15"/>
  <c r="H13" i="15"/>
  <c r="H35" i="37"/>
  <c r="E49" i="37"/>
  <c r="G50" i="37"/>
  <c r="E50" i="37"/>
  <c r="K37" i="41"/>
  <c r="J37" i="41"/>
  <c r="H30" i="37"/>
  <c r="J30" i="37" s="1"/>
  <c r="A52" i="26"/>
  <c r="J31" i="41"/>
  <c r="J3" i="41"/>
  <c r="J4" i="41"/>
  <c r="J5" i="41"/>
  <c r="J6" i="41"/>
  <c r="J7" i="41"/>
  <c r="J8" i="41"/>
  <c r="J9" i="41"/>
  <c r="J10" i="41"/>
  <c r="G5" i="41"/>
  <c r="H5" i="41" s="1"/>
  <c r="L3" i="41"/>
  <c r="I19" i="15" s="1"/>
  <c r="P6" i="41"/>
  <c r="Q6" i="41"/>
  <c r="R6" i="41"/>
  <c r="S6" i="41"/>
  <c r="Y32" i="41"/>
  <c r="Y34" i="41"/>
  <c r="P35" i="41"/>
  <c r="T35" i="41"/>
  <c r="U36" i="41" s="1"/>
  <c r="O29" i="41" s="1"/>
  <c r="U35" i="41"/>
  <c r="Y36" i="41"/>
  <c r="Q40" i="41"/>
  <c r="S40" i="37"/>
  <c r="I33" i="41"/>
  <c r="K33" i="41"/>
  <c r="T36" i="23"/>
  <c r="T37" i="23"/>
  <c r="T38" i="23"/>
  <c r="T41" i="23"/>
  <c r="T35" i="23"/>
  <c r="H36" i="37"/>
  <c r="H37" i="41" s="1"/>
  <c r="L37" i="41" s="1"/>
  <c r="T33" i="23"/>
  <c r="T34" i="23"/>
  <c r="T32" i="23"/>
  <c r="T31" i="23"/>
  <c r="G32" i="37"/>
  <c r="G33" i="37"/>
  <c r="E32" i="37"/>
  <c r="E33" i="37"/>
  <c r="T30" i="23"/>
  <c r="G31" i="37"/>
  <c r="T29" i="23"/>
  <c r="T28" i="23"/>
  <c r="T27" i="23"/>
  <c r="T26" i="23"/>
  <c r="T25" i="23"/>
  <c r="T24" i="23"/>
  <c r="T22" i="23"/>
  <c r="T21" i="23"/>
  <c r="T20" i="23"/>
  <c r="E36" i="37"/>
  <c r="T10" i="23"/>
  <c r="T19" i="23"/>
  <c r="T18" i="23"/>
  <c r="A48" i="26"/>
  <c r="A32" i="26"/>
  <c r="A17" i="26"/>
  <c r="I37" i="41"/>
  <c r="I32" i="41"/>
  <c r="J32" i="41"/>
  <c r="G30" i="37"/>
  <c r="G29" i="37"/>
  <c r="K29" i="41"/>
  <c r="I29" i="41"/>
  <c r="H32" i="37"/>
  <c r="E8" i="37"/>
  <c r="H8" i="37" s="1"/>
  <c r="E6" i="37"/>
  <c r="E7" i="37"/>
  <c r="E5" i="37"/>
  <c r="H8" i="41"/>
  <c r="L8" i="41" s="1"/>
  <c r="Q5" i="37"/>
  <c r="H6" i="37" s="1"/>
  <c r="G7" i="37"/>
  <c r="V6" i="37"/>
  <c r="H10" i="37"/>
  <c r="H10" i="41" s="1"/>
  <c r="L10" i="41" s="1"/>
  <c r="D30" i="40"/>
  <c r="D60" i="40"/>
  <c r="H50" i="37"/>
  <c r="H50" i="41" s="1"/>
  <c r="L50" i="41" s="1"/>
  <c r="T11" i="23"/>
  <c r="T13" i="23"/>
  <c r="T14" i="23"/>
  <c r="T15" i="23"/>
  <c r="T16" i="23"/>
  <c r="T17" i="23"/>
  <c r="I3" i="41"/>
  <c r="K3" i="41"/>
  <c r="I4" i="41"/>
  <c r="K4" i="41"/>
  <c r="I5" i="41"/>
  <c r="K5" i="41"/>
  <c r="I6" i="41"/>
  <c r="K6" i="41"/>
  <c r="I7" i="41"/>
  <c r="K7" i="41"/>
  <c r="I8" i="41"/>
  <c r="K8" i="41"/>
  <c r="I9" i="41"/>
  <c r="K9" i="41"/>
  <c r="I10" i="41"/>
  <c r="K10" i="41"/>
  <c r="I11" i="41"/>
  <c r="J11" i="41"/>
  <c r="K11" i="41"/>
  <c r="I12" i="41"/>
  <c r="J12" i="41"/>
  <c r="K12" i="41"/>
  <c r="I13" i="41"/>
  <c r="J13" i="41"/>
  <c r="K13" i="41"/>
  <c r="I14" i="41"/>
  <c r="J14" i="41"/>
  <c r="K14" i="41"/>
  <c r="I15" i="41"/>
  <c r="J15" i="41"/>
  <c r="K15" i="41"/>
  <c r="I16" i="41"/>
  <c r="J16" i="41"/>
  <c r="K16" i="41"/>
  <c r="I17" i="41"/>
  <c r="J17" i="41"/>
  <c r="K17" i="41"/>
  <c r="I18" i="41"/>
  <c r="J18" i="41"/>
  <c r="K18" i="41"/>
  <c r="I19" i="41"/>
  <c r="J19" i="41"/>
  <c r="K19" i="41"/>
  <c r="I20" i="41"/>
  <c r="J20" i="41"/>
  <c r="K20" i="41"/>
  <c r="I21" i="41"/>
  <c r="J21" i="41"/>
  <c r="K21" i="41"/>
  <c r="I22" i="41"/>
  <c r="J22" i="41"/>
  <c r="K22" i="41"/>
  <c r="I23" i="41"/>
  <c r="J23" i="41"/>
  <c r="K23" i="41"/>
  <c r="I24" i="41"/>
  <c r="J24" i="41"/>
  <c r="K24" i="41"/>
  <c r="I25" i="41"/>
  <c r="J25" i="41"/>
  <c r="K25" i="41"/>
  <c r="I26" i="41"/>
  <c r="J26" i="41"/>
  <c r="K26" i="41"/>
  <c r="I27" i="41"/>
  <c r="J27" i="41"/>
  <c r="K27" i="41"/>
  <c r="I28" i="41"/>
  <c r="J28" i="41"/>
  <c r="K28" i="41"/>
  <c r="I30" i="41"/>
  <c r="K30" i="41"/>
  <c r="K32" i="41"/>
  <c r="I34" i="41"/>
  <c r="K34" i="41"/>
  <c r="I35" i="41"/>
  <c r="J35" i="41"/>
  <c r="K35" i="41"/>
  <c r="I36" i="41"/>
  <c r="J36" i="41"/>
  <c r="K36" i="41"/>
  <c r="I38" i="41"/>
  <c r="J38" i="41"/>
  <c r="K38" i="41"/>
  <c r="I31" i="41"/>
  <c r="K31" i="41"/>
  <c r="I40" i="41"/>
  <c r="K40" i="41"/>
  <c r="I41" i="41"/>
  <c r="K41" i="41"/>
  <c r="I42" i="41"/>
  <c r="J42" i="41"/>
  <c r="K42" i="41"/>
  <c r="I46" i="41"/>
  <c r="J46" i="41"/>
  <c r="K46" i="41"/>
  <c r="I47" i="41"/>
  <c r="J47" i="41"/>
  <c r="K47" i="41"/>
  <c r="I48" i="41"/>
  <c r="J48" i="41"/>
  <c r="K48" i="41"/>
  <c r="I50" i="41"/>
  <c r="J50" i="41"/>
  <c r="K50" i="41"/>
  <c r="L4" i="41"/>
  <c r="I18" i="15" s="1"/>
  <c r="H11" i="41"/>
  <c r="H13" i="41"/>
  <c r="L13" i="41" s="1"/>
  <c r="H17" i="41"/>
  <c r="L17" i="41" s="1"/>
  <c r="H18" i="41"/>
  <c r="L18" i="41" s="1"/>
  <c r="H19" i="41"/>
  <c r="L19" i="41" s="1"/>
  <c r="H20" i="41"/>
  <c r="H21" i="41"/>
  <c r="H22" i="41"/>
  <c r="H28" i="41"/>
  <c r="H32" i="41"/>
  <c r="H31" i="41"/>
  <c r="H40" i="41"/>
  <c r="H41" i="41"/>
  <c r="H46" i="41"/>
  <c r="L46" i="41" s="1"/>
  <c r="I35" i="15" s="1"/>
  <c r="H35" i="15" s="1"/>
  <c r="H47" i="41"/>
  <c r="H48" i="41"/>
  <c r="L48" i="41" s="1"/>
  <c r="I38" i="15" s="1"/>
  <c r="H38" i="15" s="1"/>
  <c r="AA31" i="37"/>
  <c r="AA33" i="37"/>
  <c r="AA35" i="37"/>
  <c r="W34" i="37"/>
  <c r="V34" i="37"/>
  <c r="W35" i="37" l="1"/>
  <c r="Q29" i="37" s="1"/>
  <c r="H29" i="37" s="1"/>
  <c r="J29" i="37" s="1"/>
  <c r="J29" i="41" s="1"/>
  <c r="H7" i="37"/>
  <c r="H5" i="37"/>
  <c r="H33" i="41"/>
  <c r="J32" i="37"/>
  <c r="J33" i="41" s="1"/>
  <c r="L36" i="37"/>
  <c r="L40" i="41"/>
  <c r="J34" i="41"/>
  <c r="H34" i="41"/>
  <c r="G6" i="41"/>
  <c r="H6" i="41" s="1"/>
  <c r="G7" i="41"/>
  <c r="H7" i="41" s="1"/>
  <c r="L7" i="41" s="1"/>
  <c r="I12" i="15" s="1"/>
  <c r="H10" i="15" s="1"/>
  <c r="L5" i="41"/>
  <c r="I6" i="15" s="1"/>
  <c r="H4" i="15" s="1"/>
  <c r="L31" i="37"/>
  <c r="O19" i="23" s="1"/>
  <c r="L47" i="41"/>
  <c r="H29" i="41" l="1"/>
  <c r="L29" i="41" s="1"/>
  <c r="I23" i="15" s="1"/>
  <c r="L33" i="37"/>
  <c r="L32" i="37"/>
  <c r="O22" i="23" s="1"/>
  <c r="E37" i="37" l="1"/>
  <c r="C43" i="26"/>
  <c r="B43" i="26"/>
  <c r="A43" i="26"/>
  <c r="L6" i="37"/>
  <c r="L7" i="37"/>
  <c r="L5" i="37"/>
  <c r="E38" i="37"/>
  <c r="G38" i="37"/>
  <c r="W6" i="37"/>
  <c r="U6" i="37"/>
  <c r="E40" i="37"/>
  <c r="E42" i="37"/>
  <c r="E41" i="37"/>
  <c r="L38" i="37" l="1"/>
  <c r="O20" i="23" s="1"/>
  <c r="H30" i="41"/>
  <c r="J30" i="41"/>
  <c r="L42" i="41" l="1"/>
  <c r="I33" i="15" s="1"/>
  <c r="H33" i="15" s="1"/>
  <c r="G40" i="37" l="1"/>
  <c r="L40" i="37" s="1"/>
  <c r="R34" i="37"/>
  <c r="H34" i="37" s="1"/>
  <c r="G42" i="37"/>
  <c r="L42" i="37" s="1"/>
  <c r="G47" i="37"/>
  <c r="E48" i="37"/>
  <c r="L48" i="37" s="1"/>
  <c r="E47" i="37"/>
  <c r="E46" i="37"/>
  <c r="L46" i="37" s="1"/>
  <c r="H35" i="41" l="1"/>
  <c r="L35" i="41" s="1"/>
  <c r="I24" i="15" s="1"/>
  <c r="H23" i="15" s="1"/>
  <c r="H36" i="41"/>
  <c r="L36" i="41" s="1"/>
  <c r="O30" i="23"/>
  <c r="G39" i="37" l="1"/>
  <c r="E39" i="37"/>
  <c r="E34" i="37"/>
  <c r="L34" i="37" s="1"/>
  <c r="E35" i="37"/>
  <c r="L35" i="37" s="1"/>
  <c r="E30" i="37"/>
  <c r="L30" i="37" s="1"/>
  <c r="E29" i="37"/>
  <c r="L29" i="37" s="1"/>
  <c r="G4" i="37"/>
  <c r="L47" i="37"/>
  <c r="O21" i="23" l="1"/>
  <c r="O12" i="23"/>
  <c r="O36" i="23" l="1"/>
  <c r="O31" i="23"/>
  <c r="O23" i="23"/>
  <c r="O24" i="23"/>
  <c r="O26" i="23"/>
  <c r="O27" i="23"/>
  <c r="O18" i="23"/>
  <c r="L50" i="37"/>
  <c r="O41" i="23" s="1"/>
  <c r="O37" i="23"/>
  <c r="O35" i="23"/>
  <c r="L13" i="37"/>
  <c r="H15" i="37"/>
  <c r="H15" i="41" s="1"/>
  <c r="L15" i="41" s="1"/>
  <c r="G8" i="37"/>
  <c r="G9" i="37"/>
  <c r="G10" i="37"/>
  <c r="G3" i="37"/>
  <c r="E4" i="37"/>
  <c r="H4" i="37" s="1"/>
  <c r="O14" i="23"/>
  <c r="E9" i="37"/>
  <c r="H9" i="37" s="1"/>
  <c r="E10" i="37"/>
  <c r="E3" i="37"/>
  <c r="H3" i="37" s="1"/>
  <c r="H25" i="37"/>
  <c r="L25" i="37" l="1"/>
  <c r="H25" i="41"/>
  <c r="L25" i="41" s="1"/>
  <c r="L9" i="41"/>
  <c r="H18" i="15"/>
  <c r="O13" i="23"/>
  <c r="L9" i="37"/>
  <c r="O16" i="23" s="1"/>
  <c r="L8" i="37"/>
  <c r="O15" i="23" s="1"/>
  <c r="L10" i="37"/>
  <c r="O17" i="23" s="1"/>
  <c r="H26" i="37"/>
  <c r="H23" i="37"/>
  <c r="L17" i="37"/>
  <c r="L18" i="37"/>
  <c r="L19" i="37"/>
  <c r="H27" i="37"/>
  <c r="H24" i="37"/>
  <c r="H12" i="37"/>
  <c r="H16" i="37"/>
  <c r="L15" i="37"/>
  <c r="H14" i="37"/>
  <c r="D35" i="40"/>
  <c r="A64" i="40"/>
  <c r="D74" i="40"/>
  <c r="B44" i="40"/>
  <c r="B60" i="40"/>
  <c r="K35" i="40"/>
  <c r="L35" i="40" s="1"/>
  <c r="B41" i="40" s="1"/>
  <c r="K36" i="40"/>
  <c r="L36" i="40" s="1"/>
  <c r="B42" i="40" s="1"/>
  <c r="K37" i="40"/>
  <c r="L37" i="40" s="1"/>
  <c r="B43" i="40" s="1"/>
  <c r="K38" i="40"/>
  <c r="L38" i="40" s="1"/>
  <c r="K39" i="40"/>
  <c r="L39" i="40" s="1"/>
  <c r="B45" i="40" s="1"/>
  <c r="K40" i="40"/>
  <c r="L40" i="40" s="1"/>
  <c r="B46" i="40" s="1"/>
  <c r="K41" i="40"/>
  <c r="L41" i="40" s="1"/>
  <c r="B47" i="40" s="1"/>
  <c r="C36" i="40"/>
  <c r="D36" i="40" s="1"/>
  <c r="C37" i="40"/>
  <c r="D37" i="40" s="1"/>
  <c r="C38" i="40"/>
  <c r="D38" i="40" s="1"/>
  <c r="C39" i="40"/>
  <c r="D39" i="40" s="1"/>
  <c r="C40" i="40"/>
  <c r="D40" i="40" s="1"/>
  <c r="C41" i="40"/>
  <c r="C42" i="40"/>
  <c r="C43" i="40"/>
  <c r="C44" i="40"/>
  <c r="C45" i="40"/>
  <c r="C46" i="40"/>
  <c r="C47" i="40"/>
  <c r="K46" i="40"/>
  <c r="C57" i="40"/>
  <c r="C58" i="40"/>
  <c r="L26" i="37" l="1"/>
  <c r="H26" i="41"/>
  <c r="L26" i="41" s="1"/>
  <c r="L14" i="37"/>
  <c r="H14" i="41"/>
  <c r="L14" i="41" s="1"/>
  <c r="L16" i="37"/>
  <c r="H16" i="41"/>
  <c r="L16" i="41" s="1"/>
  <c r="L24" i="37"/>
  <c r="H24" i="41"/>
  <c r="L24" i="41" s="1"/>
  <c r="L12" i="37"/>
  <c r="H12" i="41"/>
  <c r="L12" i="41" s="1"/>
  <c r="L27" i="37"/>
  <c r="H27" i="41"/>
  <c r="L27" i="41" s="1"/>
  <c r="L23" i="37"/>
  <c r="H23" i="41"/>
  <c r="L23" i="41" s="1"/>
  <c r="L3" i="37"/>
  <c r="O10" i="23" s="1"/>
  <c r="D57" i="40"/>
  <c r="D47" i="40"/>
  <c r="D45" i="40"/>
  <c r="D43" i="40"/>
  <c r="D42" i="40"/>
  <c r="D41" i="40"/>
  <c r="D46" i="40"/>
  <c r="D44" i="40"/>
  <c r="E31" i="28"/>
  <c r="B12" i="27"/>
  <c r="E35" i="40" l="1"/>
  <c r="E34" i="40" s="1"/>
  <c r="Q46" i="40" l="1"/>
  <c r="R46" i="40" s="1"/>
  <c r="Q47" i="40"/>
  <c r="R47" i="40" s="1"/>
  <c r="B40" i="40" s="1"/>
  <c r="Q39" i="40"/>
  <c r="R39" i="40" s="1"/>
  <c r="B36" i="40" s="1"/>
  <c r="Q40" i="40"/>
  <c r="R40" i="40" s="1"/>
  <c r="Q41" i="40"/>
  <c r="R41" i="40" s="1"/>
  <c r="B37" i="40" s="1"/>
  <c r="Q42" i="40"/>
  <c r="R42" i="40" s="1"/>
  <c r="Q43" i="40"/>
  <c r="R43" i="40" s="1"/>
  <c r="B38" i="40" s="1"/>
  <c r="Q44" i="40"/>
  <c r="R44" i="40" s="1"/>
  <c r="Q45" i="40"/>
  <c r="R45" i="40" s="1"/>
  <c r="B39" i="40" s="1"/>
  <c r="C64" i="40"/>
  <c r="D64" i="40" s="1"/>
  <c r="C65" i="40"/>
  <c r="D65" i="40" s="1"/>
  <c r="C66" i="40"/>
  <c r="D66" i="40" s="1"/>
  <c r="C67" i="40"/>
  <c r="D67" i="40" s="1"/>
  <c r="C68" i="40"/>
  <c r="D68" i="40" s="1"/>
  <c r="C69" i="40"/>
  <c r="D69" i="40" s="1"/>
  <c r="C70" i="40"/>
  <c r="D70" i="40" s="1"/>
  <c r="C71" i="40"/>
  <c r="D71" i="40" s="1"/>
  <c r="C72" i="40"/>
  <c r="D72" i="40" s="1"/>
  <c r="C73" i="40"/>
  <c r="D73" i="40" s="1"/>
  <c r="K57" i="40"/>
  <c r="L57" i="40" s="1"/>
  <c r="D58" i="40"/>
  <c r="K58" i="40"/>
  <c r="L58" i="40" s="1"/>
  <c r="B1" i="40"/>
  <c r="A4" i="40"/>
  <c r="A8" i="40"/>
  <c r="A12" i="40"/>
  <c r="A16" i="40"/>
  <c r="D16" i="40" s="1"/>
  <c r="E16" i="40"/>
  <c r="F30" i="40"/>
  <c r="C48" i="40"/>
  <c r="D48" i="40" s="1"/>
  <c r="L46" i="40"/>
  <c r="B48" i="40" s="1"/>
  <c r="C49" i="40"/>
  <c r="K47" i="40"/>
  <c r="L47" i="40" s="1"/>
  <c r="B49" i="40" s="1"/>
  <c r="C50" i="40"/>
  <c r="D50" i="40" s="1"/>
  <c r="K48" i="40"/>
  <c r="L48" i="40" s="1"/>
  <c r="B50" i="40" s="1"/>
  <c r="C51" i="40"/>
  <c r="D51" i="40" s="1"/>
  <c r="K49" i="40"/>
  <c r="L49" i="40" s="1"/>
  <c r="B51" i="40" s="1"/>
  <c r="C52" i="40"/>
  <c r="D52" i="40" s="1"/>
  <c r="K50" i="40"/>
  <c r="L50" i="40" s="1"/>
  <c r="B52" i="40" s="1"/>
  <c r="C53" i="40"/>
  <c r="K51" i="40"/>
  <c r="L51" i="40" s="1"/>
  <c r="B53" i="40" s="1"/>
  <c r="C54" i="40"/>
  <c r="D54" i="40" s="1"/>
  <c r="K54" i="40"/>
  <c r="L54" i="40" s="1"/>
  <c r="B54" i="40" s="1"/>
  <c r="C55" i="40"/>
  <c r="D55" i="40" s="1"/>
  <c r="K55" i="40"/>
  <c r="L55" i="40" s="1"/>
  <c r="B55" i="40" s="1"/>
  <c r="C56" i="40"/>
  <c r="D56" i="40" s="1"/>
  <c r="K56" i="40"/>
  <c r="L56" i="40" s="1"/>
  <c r="B56" i="40" s="1"/>
  <c r="D90" i="32"/>
  <c r="B90" i="32"/>
  <c r="B82" i="32"/>
  <c r="B83" i="32"/>
  <c r="B84" i="32"/>
  <c r="B85" i="32"/>
  <c r="B86" i="32"/>
  <c r="B87" i="32"/>
  <c r="B88" i="32"/>
  <c r="B89" i="32"/>
  <c r="B81" i="32"/>
  <c r="K81" i="32"/>
  <c r="L81" i="32" s="1"/>
  <c r="C23" i="15"/>
  <c r="D49" i="40" l="1"/>
  <c r="D53" i="40"/>
  <c r="F16" i="40"/>
  <c r="B14" i="30" l="1"/>
  <c r="D10" i="30"/>
  <c r="L37" i="15" s="1"/>
  <c r="L36" i="15"/>
  <c r="B6" i="30"/>
  <c r="L35" i="15" s="1"/>
  <c r="L38" i="15" l="1"/>
  <c r="I10" i="30"/>
  <c r="B36" i="27" l="1"/>
  <c r="B46" i="32"/>
  <c r="D63" i="32"/>
  <c r="B42" i="32"/>
  <c r="C42" i="27"/>
  <c r="C20" i="15" l="1"/>
  <c r="C25" i="15"/>
  <c r="C27" i="15" l="1"/>
  <c r="C21" i="15"/>
  <c r="B17" i="26"/>
  <c r="D58" i="26"/>
  <c r="B37" i="27" l="1"/>
  <c r="B35" i="27"/>
  <c r="B34" i="27"/>
  <c r="T2" i="15"/>
  <c r="S2" i="15"/>
  <c r="S31" i="15" s="1"/>
  <c r="C101" i="32"/>
  <c r="D101" i="32" s="1"/>
  <c r="C102" i="32"/>
  <c r="D102" i="32" s="1"/>
  <c r="C103" i="32"/>
  <c r="D103" i="32" s="1"/>
  <c r="C104" i="32"/>
  <c r="D104" i="32" s="1"/>
  <c r="C105" i="32"/>
  <c r="D105" i="32" s="1"/>
  <c r="C106" i="32"/>
  <c r="D106" i="32" s="1"/>
  <c r="C107" i="32"/>
  <c r="D107" i="32" s="1"/>
  <c r="C108" i="32"/>
  <c r="D108" i="32" s="1"/>
  <c r="C109" i="32"/>
  <c r="D109" i="32" s="1"/>
  <c r="C100" i="32"/>
  <c r="L84" i="32"/>
  <c r="L85" i="32"/>
  <c r="L86" i="32"/>
  <c r="L87" i="32"/>
  <c r="M25" i="32"/>
  <c r="B25" i="32" s="1"/>
  <c r="M26" i="32"/>
  <c r="N26" i="32" s="1"/>
  <c r="M27" i="32"/>
  <c r="N27" i="32" s="1"/>
  <c r="M28" i="32"/>
  <c r="B28" i="32" s="1"/>
  <c r="M29" i="32"/>
  <c r="B29" i="32" s="1"/>
  <c r="M30" i="32"/>
  <c r="N30" i="32" s="1"/>
  <c r="M31" i="32"/>
  <c r="N31" i="32" s="1"/>
  <c r="M32" i="32"/>
  <c r="B32" i="32" s="1"/>
  <c r="M33" i="32"/>
  <c r="N33" i="32" s="1"/>
  <c r="M24" i="32"/>
  <c r="N24" i="32" s="1"/>
  <c r="M14" i="32"/>
  <c r="M15" i="32"/>
  <c r="M16" i="32"/>
  <c r="M17" i="32"/>
  <c r="M18" i="32"/>
  <c r="M19" i="32"/>
  <c r="M20" i="32"/>
  <c r="M13" i="32"/>
  <c r="M5" i="32"/>
  <c r="N5" i="32" s="1"/>
  <c r="M6" i="32"/>
  <c r="N6" i="32" s="1"/>
  <c r="B7" i="32" s="1"/>
  <c r="M7" i="32"/>
  <c r="N7" i="32" s="1"/>
  <c r="B8" i="32" s="1"/>
  <c r="M8" i="32"/>
  <c r="N8" i="32" s="1"/>
  <c r="B9" i="32" s="1"/>
  <c r="M4" i="32"/>
  <c r="N4" i="32" s="1"/>
  <c r="B5" i="32" s="1"/>
  <c r="K95" i="32"/>
  <c r="L95" i="32" s="1"/>
  <c r="B96" i="32" s="1"/>
  <c r="K94" i="32"/>
  <c r="L94" i="32" s="1"/>
  <c r="K82" i="32"/>
  <c r="L82" i="32" s="1"/>
  <c r="E90" i="32" s="1"/>
  <c r="K83" i="32"/>
  <c r="L83" i="32" s="1"/>
  <c r="K84" i="32"/>
  <c r="K85" i="32"/>
  <c r="K86" i="32"/>
  <c r="K87" i="32"/>
  <c r="K88" i="32"/>
  <c r="L88" i="32" s="1"/>
  <c r="K89" i="32"/>
  <c r="L89" i="32" s="1"/>
  <c r="N29" i="32" l="1"/>
  <c r="B6" i="32"/>
  <c r="B10" i="32"/>
  <c r="N17" i="32"/>
  <c r="B17" i="32"/>
  <c r="C17" i="32" s="1"/>
  <c r="N18" i="32"/>
  <c r="B18" i="32"/>
  <c r="C18" i="32" s="1"/>
  <c r="N13" i="32"/>
  <c r="B13" i="32"/>
  <c r="C13" i="32" s="1"/>
  <c r="N20" i="32"/>
  <c r="B20" i="32"/>
  <c r="C20" i="32" s="1"/>
  <c r="N19" i="32"/>
  <c r="B19" i="32"/>
  <c r="C19" i="32" s="1"/>
  <c r="N16" i="32"/>
  <c r="B16" i="32"/>
  <c r="C16" i="32" s="1"/>
  <c r="N15" i="32"/>
  <c r="B15" i="32"/>
  <c r="C15" i="32" s="1"/>
  <c r="N14" i="32"/>
  <c r="B14" i="32"/>
  <c r="C14" i="32" s="1"/>
  <c r="T34" i="15"/>
  <c r="T32" i="15"/>
  <c r="B34" i="32"/>
  <c r="N25" i="32"/>
  <c r="B24" i="32"/>
  <c r="B31" i="32"/>
  <c r="B33" i="32"/>
  <c r="B21" i="32" s="1"/>
  <c r="C21" i="32" s="1"/>
  <c r="N32" i="32"/>
  <c r="N28" i="32"/>
  <c r="B27" i="32"/>
  <c r="B26" i="32"/>
  <c r="B30" i="32"/>
  <c r="D29" i="32" l="1"/>
  <c r="D30" i="32"/>
  <c r="D31" i="32"/>
  <c r="D32" i="32"/>
  <c r="D33" i="32"/>
  <c r="C25" i="32"/>
  <c r="C26" i="32"/>
  <c r="C27" i="32"/>
  <c r="C28" i="32"/>
  <c r="C29" i="32"/>
  <c r="C30" i="32"/>
  <c r="C31" i="32"/>
  <c r="C32" i="32"/>
  <c r="C33" i="32"/>
  <c r="C34" i="32"/>
  <c r="C24" i="32"/>
  <c r="D18" i="32"/>
  <c r="D19" i="32"/>
  <c r="D20" i="32"/>
  <c r="C31" i="15"/>
  <c r="C30" i="15"/>
  <c r="C29" i="15"/>
  <c r="C28" i="15"/>
  <c r="C32" i="15"/>
  <c r="C18" i="15"/>
  <c r="C16" i="15"/>
  <c r="C13" i="15"/>
  <c r="C31" i="28"/>
  <c r="F31" i="28" s="1"/>
  <c r="C10" i="15"/>
  <c r="C7" i="15"/>
  <c r="C4" i="15"/>
  <c r="E29" i="26"/>
  <c r="D25" i="28"/>
  <c r="G60" i="26"/>
  <c r="H60" i="26" s="1"/>
  <c r="G61" i="26"/>
  <c r="H61" i="26" s="1"/>
  <c r="G62" i="26"/>
  <c r="H62" i="26" s="1"/>
  <c r="G59" i="26"/>
  <c r="H59" i="26" s="1"/>
  <c r="D6" i="26"/>
  <c r="G25" i="26"/>
  <c r="D59" i="26"/>
  <c r="D60" i="26"/>
  <c r="D61" i="26"/>
  <c r="D62" i="26"/>
  <c r="B7" i="27"/>
  <c r="C7" i="27" s="1"/>
  <c r="A5" i="27"/>
  <c r="B40" i="27"/>
  <c r="D75" i="32"/>
  <c r="D76" i="32"/>
  <c r="E75" i="32"/>
  <c r="E76" i="32"/>
  <c r="F76" i="32" s="1"/>
  <c r="E74" i="32"/>
  <c r="E62" i="32"/>
  <c r="E63" i="32"/>
  <c r="E64" i="32"/>
  <c r="E65" i="32"/>
  <c r="E66" i="32"/>
  <c r="E67" i="32"/>
  <c r="E68" i="32"/>
  <c r="E69" i="32"/>
  <c r="E70" i="32"/>
  <c r="E61" i="32"/>
  <c r="D62" i="32"/>
  <c r="D64" i="32"/>
  <c r="D65" i="32"/>
  <c r="D66" i="32"/>
  <c r="D67" i="32"/>
  <c r="D68" i="32"/>
  <c r="D69" i="32"/>
  <c r="D70" i="32"/>
  <c r="D96" i="32"/>
  <c r="E96" i="32" s="1"/>
  <c r="C95" i="32"/>
  <c r="D95" i="32" s="1"/>
  <c r="C94" i="32"/>
  <c r="D94" i="32" s="1"/>
  <c r="D71" i="32"/>
  <c r="F71" i="32" s="1"/>
  <c r="G71" i="32" s="1"/>
  <c r="A61" i="32"/>
  <c r="D61" i="32" s="1"/>
  <c r="A74" i="32"/>
  <c r="D74" i="32" s="1"/>
  <c r="A100" i="32"/>
  <c r="D100" i="32" s="1"/>
  <c r="E7" i="27" l="1"/>
  <c r="G7" i="27" s="1"/>
  <c r="H7" i="27" s="1"/>
  <c r="I7" i="27" s="1"/>
  <c r="E29" i="32"/>
  <c r="E32" i="32"/>
  <c r="E33" i="32"/>
  <c r="E31" i="32"/>
  <c r="E30" i="32"/>
  <c r="E19" i="32"/>
  <c r="E20" i="32"/>
  <c r="F74" i="32"/>
  <c r="E18" i="32"/>
  <c r="F65" i="32"/>
  <c r="F66" i="32"/>
  <c r="F63" i="32"/>
  <c r="F68" i="32"/>
  <c r="F70" i="32"/>
  <c r="F69" i="32"/>
  <c r="D63" i="26"/>
  <c r="E10" i="26" s="1"/>
  <c r="F64" i="32"/>
  <c r="F62" i="32"/>
  <c r="F75" i="32"/>
  <c r="F67" i="32"/>
  <c r="F61" i="32"/>
  <c r="J47" i="27" l="1"/>
  <c r="E9" i="26"/>
  <c r="D110" i="32" l="1"/>
  <c r="E110" i="32" s="1"/>
  <c r="D26" i="28" l="1"/>
  <c r="D27" i="28"/>
  <c r="D28" i="28"/>
  <c r="D29" i="28"/>
  <c r="D30" i="28"/>
  <c r="D77" i="32" l="1"/>
  <c r="F77" i="32" s="1"/>
  <c r="G77" i="32" s="1"/>
  <c r="U2" i="15"/>
  <c r="U39" i="15" s="1"/>
  <c r="Q2" i="15"/>
  <c r="N2" i="15"/>
  <c r="N27" i="15" l="1"/>
  <c r="N26" i="15"/>
  <c r="J41" i="41"/>
  <c r="G41" i="41"/>
  <c r="L41" i="41" s="1"/>
  <c r="I31" i="15" s="1"/>
  <c r="H31" i="15" s="1"/>
  <c r="E11" i="22"/>
  <c r="E14" i="22" s="1"/>
  <c r="C11" i="22"/>
  <c r="C42" i="32"/>
  <c r="G33" i="41"/>
  <c r="L33" i="41" s="1"/>
  <c r="I26" i="15" s="1"/>
  <c r="H26" i="15" s="1"/>
  <c r="O20" i="15"/>
  <c r="N6" i="15"/>
  <c r="N20" i="15"/>
  <c r="A45" i="26" s="1"/>
  <c r="N23" i="15"/>
  <c r="A6" i="26" s="1"/>
  <c r="Q26" i="15"/>
  <c r="B33" i="26" s="1"/>
  <c r="Q24" i="15"/>
  <c r="A25" i="26" s="1"/>
  <c r="Q20" i="15"/>
  <c r="C45" i="26" s="1"/>
  <c r="Q11" i="15"/>
  <c r="C46" i="32" s="1"/>
  <c r="D46" i="32" s="1"/>
  <c r="E46" i="32" s="1"/>
  <c r="Q27" i="15"/>
  <c r="B18" i="26" s="1"/>
  <c r="O25" i="15"/>
  <c r="N25" i="15"/>
  <c r="Q25" i="15"/>
  <c r="A29" i="26" s="1"/>
  <c r="N21" i="15"/>
  <c r="O22" i="15"/>
  <c r="G30" i="41" s="1"/>
  <c r="N22" i="15"/>
  <c r="N4" i="15"/>
  <c r="D21" i="32"/>
  <c r="E21" i="32" s="1"/>
  <c r="F21" i="32" s="1"/>
  <c r="G21" i="32" s="1"/>
  <c r="E6" i="41"/>
  <c r="L6" i="41" s="1"/>
  <c r="I9" i="15" s="1"/>
  <c r="H7" i="15" s="1"/>
  <c r="Q10" i="15"/>
  <c r="D34" i="32" s="1"/>
  <c r="E34" i="32" s="1"/>
  <c r="F34" i="32" s="1"/>
  <c r="G34" i="32" s="1"/>
  <c r="L10" i="15" s="1"/>
  <c r="Q12" i="15"/>
  <c r="O21" i="15"/>
  <c r="P2" i="15"/>
  <c r="N5" i="15"/>
  <c r="C38" i="32" s="1"/>
  <c r="V5" i="22" l="1"/>
  <c r="L5" i="22"/>
  <c r="N6" i="23"/>
  <c r="C14" i="22"/>
  <c r="P22" i="15"/>
  <c r="A49" i="26" s="1"/>
  <c r="A14" i="26"/>
  <c r="P27" i="15"/>
  <c r="A18" i="26" s="1"/>
  <c r="L30" i="41"/>
  <c r="I22" i="15" s="1"/>
  <c r="G34" i="41"/>
  <c r="L34" i="41" s="1"/>
  <c r="P21" i="15"/>
  <c r="A10" i="26" s="1"/>
  <c r="B45" i="26"/>
  <c r="G31" i="41"/>
  <c r="L31" i="41" s="1"/>
  <c r="G32" i="41"/>
  <c r="L32" i="41" s="1"/>
  <c r="I25" i="15" s="1"/>
  <c r="H25" i="15" s="1"/>
  <c r="A54" i="32"/>
  <c r="A50" i="32"/>
  <c r="A58" i="32"/>
  <c r="C10" i="32"/>
  <c r="D10" i="32" s="1"/>
  <c r="E10" i="32" s="1"/>
  <c r="P26" i="15"/>
  <c r="R26" i="15" s="1"/>
  <c r="D38" i="32"/>
  <c r="E38" i="32" s="1"/>
  <c r="D42" i="32"/>
  <c r="E42" i="32" s="1"/>
  <c r="P20" i="15"/>
  <c r="R20" i="15" s="1"/>
  <c r="P25" i="15"/>
  <c r="P23" i="15"/>
  <c r="R2" i="15"/>
  <c r="R25" i="15" s="1"/>
  <c r="R5" i="22" l="1"/>
  <c r="X5" i="22" s="1"/>
  <c r="Z5" i="22" s="1"/>
  <c r="D5" i="22" s="1"/>
  <c r="H5" i="22"/>
  <c r="AF5" i="22"/>
  <c r="I21" i="15"/>
  <c r="H21" i="15" s="1"/>
  <c r="A33" i="26"/>
  <c r="A1" i="39"/>
  <c r="AB5" i="22" l="1"/>
  <c r="AH5" i="22" s="1"/>
  <c r="AJ5" i="22" s="1"/>
  <c r="N5" i="22"/>
  <c r="P5" i="22" s="1"/>
  <c r="P65" i="14"/>
  <c r="P64" i="14"/>
  <c r="N64" i="14"/>
  <c r="N63" i="14"/>
  <c r="C84" i="32"/>
  <c r="D84" i="32" s="1"/>
  <c r="C85" i="32"/>
  <c r="D85" i="32" s="1"/>
  <c r="C86" i="32"/>
  <c r="D86" i="32" s="1"/>
  <c r="C87" i="32"/>
  <c r="D87" i="32" s="1"/>
  <c r="C88" i="32"/>
  <c r="D88" i="32" s="1"/>
  <c r="C89" i="32"/>
  <c r="D89" i="32" s="1"/>
  <c r="F18" i="26"/>
  <c r="E33" i="26"/>
  <c r="AA19" i="15"/>
  <c r="AA20" i="15"/>
  <c r="AA21" i="15"/>
  <c r="AA23" i="15"/>
  <c r="AA26" i="15"/>
  <c r="AA25" i="15"/>
  <c r="J41" i="37" l="1"/>
  <c r="G41" i="37" s="1"/>
  <c r="N7" i="23"/>
  <c r="G11" i="22"/>
  <c r="F11" i="22"/>
  <c r="R11" i="22"/>
  <c r="Q11" i="22"/>
  <c r="P11" i="22"/>
  <c r="O11" i="22"/>
  <c r="X26" i="22"/>
  <c r="W23" i="22"/>
  <c r="V29" i="22"/>
  <c r="V28" i="22"/>
  <c r="V27" i="22"/>
  <c r="V25" i="22"/>
  <c r="V24" i="22"/>
  <c r="V22" i="22"/>
  <c r="C7" i="28"/>
  <c r="E7" i="23"/>
  <c r="P1" i="28" s="1"/>
  <c r="L41" i="37" l="1"/>
  <c r="O29" i="23" s="1"/>
  <c r="A18" i="30"/>
  <c r="E6" i="23" l="1"/>
  <c r="J1" i="28" s="1"/>
  <c r="C9" i="30"/>
  <c r="C26" i="28"/>
  <c r="C27" i="28"/>
  <c r="C28" i="28"/>
  <c r="C29" i="28"/>
  <c r="C30" i="28"/>
  <c r="C25" i="28"/>
  <c r="A13" i="30"/>
  <c r="B13" i="30" s="1"/>
  <c r="E9" i="30"/>
  <c r="A9" i="30"/>
  <c r="B5" i="30"/>
  <c r="C5" i="30" s="1"/>
  <c r="B63" i="30"/>
  <c r="F63" i="30"/>
  <c r="G63" i="30"/>
  <c r="I63" i="30"/>
  <c r="D8" i="28"/>
  <c r="E8" i="28" s="1"/>
  <c r="D9" i="28"/>
  <c r="E9" i="28" s="1"/>
  <c r="D10" i="28"/>
  <c r="D11" i="28"/>
  <c r="D12" i="28"/>
  <c r="D13" i="28"/>
  <c r="D14" i="28"/>
  <c r="D15" i="28"/>
  <c r="D16" i="28"/>
  <c r="D7" i="28"/>
  <c r="E7" i="28" s="1"/>
  <c r="C8" i="28"/>
  <c r="C9" i="28"/>
  <c r="C10" i="28"/>
  <c r="C11" i="28"/>
  <c r="C12" i="28"/>
  <c r="C13" i="28"/>
  <c r="C14" i="28"/>
  <c r="C15" i="28"/>
  <c r="C16" i="28"/>
  <c r="A1" i="34"/>
  <c r="Q5" i="23"/>
  <c r="C82" i="32"/>
  <c r="D82" i="32" s="1"/>
  <c r="C83" i="32"/>
  <c r="D83" i="32" s="1"/>
  <c r="C81" i="32"/>
  <c r="D81" i="32" s="1"/>
  <c r="D25" i="32"/>
  <c r="E25" i="32" s="1"/>
  <c r="D26" i="32"/>
  <c r="E26" i="32" s="1"/>
  <c r="D27" i="32"/>
  <c r="E27" i="32" s="1"/>
  <c r="D28" i="32"/>
  <c r="E28" i="32" s="1"/>
  <c r="D24" i="32"/>
  <c r="E24" i="32" s="1"/>
  <c r="D13" i="32"/>
  <c r="E13" i="32" s="1"/>
  <c r="D14" i="32"/>
  <c r="E14" i="32" s="1"/>
  <c r="D15" i="32"/>
  <c r="E15" i="32" s="1"/>
  <c r="D16" i="32"/>
  <c r="E16" i="32" s="1"/>
  <c r="D17" i="32"/>
  <c r="E17" i="32" s="1"/>
  <c r="B71" i="26"/>
  <c r="A57" i="32"/>
  <c r="A53" i="32"/>
  <c r="A49" i="32"/>
  <c r="O80" i="26"/>
  <c r="R80" i="26" s="1"/>
  <c r="S80" i="26" s="1"/>
  <c r="O79" i="26"/>
  <c r="R79" i="26" s="1"/>
  <c r="O71" i="26"/>
  <c r="O70" i="26"/>
  <c r="B32" i="26"/>
  <c r="A24" i="26"/>
  <c r="A28" i="26"/>
  <c r="E16" i="28" l="1"/>
  <c r="E15" i="28"/>
  <c r="E14" i="28"/>
  <c r="E13" i="28"/>
  <c r="E12" i="28"/>
  <c r="E11" i="28"/>
  <c r="E10" i="28"/>
  <c r="E28" i="28"/>
  <c r="F28" i="28" s="1"/>
  <c r="E26" i="28"/>
  <c r="F26" i="28" s="1"/>
  <c r="E25" i="28"/>
  <c r="E29" i="28"/>
  <c r="F29" i="28" s="1"/>
  <c r="E30" i="28"/>
  <c r="F30" i="28" s="1"/>
  <c r="E27" i="28"/>
  <c r="F27" i="28" s="1"/>
  <c r="F7" i="28"/>
  <c r="AT5" i="22"/>
  <c r="BD5" i="22"/>
  <c r="P79" i="26"/>
  <c r="BF5" i="22"/>
  <c r="G9" i="30"/>
  <c r="D9" i="30"/>
  <c r="F13" i="30"/>
  <c r="D13" i="30"/>
  <c r="J63" i="30"/>
  <c r="D5" i="30"/>
  <c r="B36" i="34"/>
  <c r="B37" i="34"/>
  <c r="R72" i="26"/>
  <c r="R81" i="26"/>
  <c r="S79" i="26"/>
  <c r="P80" i="26"/>
  <c r="B30" i="34" l="1"/>
  <c r="B47" i="34" s="1"/>
  <c r="K35" i="23"/>
  <c r="P35" i="23" s="1"/>
  <c r="F25" i="28"/>
  <c r="M17" i="39"/>
  <c r="I17" i="39"/>
  <c r="I16" i="39"/>
  <c r="M16" i="39"/>
  <c r="B31" i="34"/>
  <c r="I21" i="39"/>
  <c r="M21" i="39"/>
  <c r="B25" i="34"/>
  <c r="G13" i="30"/>
  <c r="I9" i="30"/>
  <c r="F12" i="28"/>
  <c r="F11" i="28"/>
  <c r="F10" i="28"/>
  <c r="F9" i="28"/>
  <c r="F16" i="28"/>
  <c r="F8" i="28"/>
  <c r="F13" i="28"/>
  <c r="F14" i="28"/>
  <c r="F15" i="28"/>
  <c r="S81" i="26"/>
  <c r="T80" i="26" s="1"/>
  <c r="S72" i="26"/>
  <c r="T70" i="26" s="1"/>
  <c r="T71" i="26" l="1"/>
  <c r="M67" i="26" s="1"/>
  <c r="K37" i="23"/>
  <c r="P37" i="23" s="1"/>
  <c r="K36" i="23"/>
  <c r="P36" i="23" s="1"/>
  <c r="T79" i="26"/>
  <c r="M74" i="26" l="1"/>
  <c r="B1" i="32"/>
  <c r="C5" i="32"/>
  <c r="D5" i="32" s="1"/>
  <c r="C6" i="32"/>
  <c r="D6" i="32" s="1"/>
  <c r="C7" i="32"/>
  <c r="D7" i="32" s="1"/>
  <c r="C8" i="32"/>
  <c r="D8" i="32" s="1"/>
  <c r="C9" i="32"/>
  <c r="D9" i="32" s="1"/>
  <c r="A37" i="32"/>
  <c r="B37" i="32" s="1"/>
  <c r="C37" i="32"/>
  <c r="A41" i="32"/>
  <c r="B41" i="32" s="1"/>
  <c r="C41" i="32"/>
  <c r="A45" i="32"/>
  <c r="B45" i="32" s="1"/>
  <c r="C45" i="32"/>
  <c r="A25" i="27"/>
  <c r="A20" i="27"/>
  <c r="A15" i="27"/>
  <c r="A10" i="27"/>
  <c r="N8" i="23"/>
  <c r="E5" i="23"/>
  <c r="F1" i="40" s="1"/>
  <c r="E40" i="40" l="1"/>
  <c r="F40" i="40" s="1"/>
  <c r="E37" i="40"/>
  <c r="F37" i="40" s="1"/>
  <c r="E36" i="40"/>
  <c r="F36" i="40" s="1"/>
  <c r="E38" i="40"/>
  <c r="F38" i="40" s="1"/>
  <c r="E39" i="40"/>
  <c r="F39" i="40" s="1"/>
  <c r="E44" i="40"/>
  <c r="F44" i="40" s="1"/>
  <c r="E46" i="40"/>
  <c r="F46" i="40" s="1"/>
  <c r="E43" i="40"/>
  <c r="F43" i="40" s="1"/>
  <c r="E45" i="40"/>
  <c r="F45" i="40" s="1"/>
  <c r="E47" i="40"/>
  <c r="F47" i="40" s="1"/>
  <c r="E42" i="40"/>
  <c r="F42" i="40" s="1"/>
  <c r="E41" i="40"/>
  <c r="F41" i="40" s="1"/>
  <c r="E52" i="40"/>
  <c r="F52" i="40" s="1"/>
  <c r="E54" i="40"/>
  <c r="F54" i="40" s="1"/>
  <c r="E68" i="40"/>
  <c r="F68" i="40" s="1"/>
  <c r="E70" i="40"/>
  <c r="F70" i="40" s="1"/>
  <c r="E69" i="40"/>
  <c r="F69" i="40" s="1"/>
  <c r="E50" i="40"/>
  <c r="F50" i="40" s="1"/>
  <c r="E67" i="40"/>
  <c r="F67" i="40" s="1"/>
  <c r="E66" i="40"/>
  <c r="F66" i="40" s="1"/>
  <c r="E57" i="40"/>
  <c r="F57" i="40" s="1"/>
  <c r="E58" i="40"/>
  <c r="F58" i="40" s="1"/>
  <c r="E73" i="40"/>
  <c r="F73" i="40" s="1"/>
  <c r="E72" i="40"/>
  <c r="F72" i="40" s="1"/>
  <c r="E71" i="40"/>
  <c r="F71" i="40" s="1"/>
  <c r="E65" i="40"/>
  <c r="F65" i="40" s="1"/>
  <c r="E53" i="40"/>
  <c r="F53" i="40" s="1"/>
  <c r="E51" i="40"/>
  <c r="F51" i="40" s="1"/>
  <c r="E55" i="40"/>
  <c r="F55" i="40" s="1"/>
  <c r="E49" i="40"/>
  <c r="F49" i="40" s="1"/>
  <c r="E56" i="40"/>
  <c r="F56" i="40" s="1"/>
  <c r="E64" i="40"/>
  <c r="F64" i="40" s="1"/>
  <c r="K17" i="23" s="1"/>
  <c r="E48" i="40"/>
  <c r="F48" i="40" s="1"/>
  <c r="G16" i="40"/>
  <c r="D45" i="32"/>
  <c r="D41" i="32"/>
  <c r="D37" i="32"/>
  <c r="F1" i="28"/>
  <c r="G1" i="26"/>
  <c r="F1" i="32"/>
  <c r="F13" i="32" s="1"/>
  <c r="I1" i="30"/>
  <c r="J1" i="27"/>
  <c r="I6" i="27" s="1"/>
  <c r="P17" i="23" l="1"/>
  <c r="K16" i="23"/>
  <c r="P16" i="23" s="1"/>
  <c r="H16" i="40"/>
  <c r="K15" i="23" s="1"/>
  <c r="P15" i="23" s="1"/>
  <c r="H25" i="28"/>
  <c r="E45" i="32"/>
  <c r="F45" i="32" s="1"/>
  <c r="E81" i="32"/>
  <c r="F81" i="32" s="1"/>
  <c r="G16" i="28"/>
  <c r="E105" i="32"/>
  <c r="F105" i="32" s="1"/>
  <c r="E109" i="32"/>
  <c r="F109" i="32" s="1"/>
  <c r="E104" i="32"/>
  <c r="F104" i="32" s="1"/>
  <c r="E108" i="32"/>
  <c r="F108" i="32" s="1"/>
  <c r="E106" i="32"/>
  <c r="F106" i="32" s="1"/>
  <c r="E102" i="32"/>
  <c r="F102" i="32" s="1"/>
  <c r="E101" i="32"/>
  <c r="F101" i="32" s="1"/>
  <c r="E107" i="32"/>
  <c r="F107" i="32" s="1"/>
  <c r="E103" i="32"/>
  <c r="F103" i="32" s="1"/>
  <c r="E100" i="32"/>
  <c r="F100" i="32" s="1"/>
  <c r="F29" i="32"/>
  <c r="G29" i="32" s="1"/>
  <c r="F31" i="32"/>
  <c r="G31" i="32" s="1"/>
  <c r="F30" i="32"/>
  <c r="G30" i="32" s="1"/>
  <c r="F33" i="32"/>
  <c r="G33" i="32" s="1"/>
  <c r="F32" i="32"/>
  <c r="G32" i="32" s="1"/>
  <c r="G7" i="28"/>
  <c r="F19" i="32"/>
  <c r="G19" i="32" s="1"/>
  <c r="F18" i="32"/>
  <c r="G18" i="32" s="1"/>
  <c r="F20" i="32"/>
  <c r="G20" i="32" s="1"/>
  <c r="G76" i="32"/>
  <c r="H76" i="32" s="1"/>
  <c r="G75" i="32"/>
  <c r="H75" i="32" s="1"/>
  <c r="G70" i="32"/>
  <c r="H70" i="32" s="1"/>
  <c r="F96" i="32"/>
  <c r="G64" i="32"/>
  <c r="H64" i="32" s="1"/>
  <c r="G68" i="32"/>
  <c r="H68" i="32" s="1"/>
  <c r="G62" i="32"/>
  <c r="H62" i="32" s="1"/>
  <c r="G66" i="32"/>
  <c r="H66" i="32" s="1"/>
  <c r="G63" i="32"/>
  <c r="H63" i="32" s="1"/>
  <c r="G65" i="32"/>
  <c r="H65" i="32" s="1"/>
  <c r="G69" i="32"/>
  <c r="H69" i="32" s="1"/>
  <c r="G67" i="32"/>
  <c r="H67" i="32" s="1"/>
  <c r="G74" i="32"/>
  <c r="H74" i="32" s="1"/>
  <c r="E95" i="32"/>
  <c r="F95" i="32" s="1"/>
  <c r="E94" i="32"/>
  <c r="F94" i="32" s="1"/>
  <c r="H71" i="32"/>
  <c r="L14" i="15" s="1"/>
  <c r="F110" i="32"/>
  <c r="L15" i="15" s="1"/>
  <c r="G61" i="32"/>
  <c r="H61" i="32" s="1"/>
  <c r="F90" i="32"/>
  <c r="L13" i="15" s="1"/>
  <c r="H77" i="32"/>
  <c r="H7" i="28"/>
  <c r="G25" i="28"/>
  <c r="G26" i="28"/>
  <c r="H26" i="28"/>
  <c r="G27" i="28"/>
  <c r="H27" i="28"/>
  <c r="G28" i="28"/>
  <c r="H28" i="28"/>
  <c r="G29" i="28"/>
  <c r="H29" i="28"/>
  <c r="G30" i="28"/>
  <c r="H30" i="28"/>
  <c r="F42" i="32"/>
  <c r="F46" i="32"/>
  <c r="L11" i="15" s="1"/>
  <c r="F38" i="32"/>
  <c r="L5" i="15" s="1"/>
  <c r="F10" i="32"/>
  <c r="E84" i="32"/>
  <c r="F84" i="32" s="1"/>
  <c r="E89" i="32"/>
  <c r="F89" i="32" s="1"/>
  <c r="E87" i="32"/>
  <c r="F87" i="32" s="1"/>
  <c r="E85" i="32"/>
  <c r="F85" i="32" s="1"/>
  <c r="E86" i="32"/>
  <c r="F86" i="32" s="1"/>
  <c r="E88" i="32"/>
  <c r="F88" i="32" s="1"/>
  <c r="H11" i="28"/>
  <c r="G13" i="28"/>
  <c r="G11" i="28"/>
  <c r="H15" i="28"/>
  <c r="H16" i="28"/>
  <c r="G10" i="28"/>
  <c r="H10" i="28"/>
  <c r="G14" i="28"/>
  <c r="H14" i="28"/>
  <c r="H13" i="28"/>
  <c r="G12" i="28"/>
  <c r="H8" i="28"/>
  <c r="G8" i="28"/>
  <c r="G9" i="28"/>
  <c r="H12" i="28"/>
  <c r="G15" i="28"/>
  <c r="H9" i="28"/>
  <c r="E82" i="32"/>
  <c r="F82" i="32" s="1"/>
  <c r="E83" i="32"/>
  <c r="F83" i="32" s="1"/>
  <c r="E8" i="32"/>
  <c r="F8" i="32" s="1"/>
  <c r="F17" i="32"/>
  <c r="G17" i="32" s="1"/>
  <c r="F16" i="32"/>
  <c r="G16" i="32" s="1"/>
  <c r="F14" i="32"/>
  <c r="G14" i="32" s="1"/>
  <c r="G13" i="32"/>
  <c r="F24" i="32"/>
  <c r="G24" i="32" s="1"/>
  <c r="F28" i="32"/>
  <c r="G28" i="32" s="1"/>
  <c r="F26" i="32"/>
  <c r="G26" i="32" s="1"/>
  <c r="F25" i="32"/>
  <c r="G25" i="32" s="1"/>
  <c r="F15" i="32"/>
  <c r="G15" i="32" s="1"/>
  <c r="F27" i="32"/>
  <c r="G27" i="32" s="1"/>
  <c r="E41" i="32"/>
  <c r="F41" i="32" s="1"/>
  <c r="E9" i="32"/>
  <c r="F9" i="32" s="1"/>
  <c r="E6" i="32"/>
  <c r="F6" i="32" s="1"/>
  <c r="E37" i="32"/>
  <c r="F37" i="32" s="1"/>
  <c r="E5" i="32"/>
  <c r="F5" i="32" s="1"/>
  <c r="E7" i="32"/>
  <c r="F7" i="32" s="1"/>
  <c r="I25" i="28" l="1"/>
  <c r="L4" i="15"/>
  <c r="L8" i="15"/>
  <c r="L16" i="15"/>
  <c r="L7" i="15"/>
  <c r="L17" i="15"/>
  <c r="I26" i="28"/>
  <c r="I30" i="28"/>
  <c r="I29" i="28"/>
  <c r="I28" i="28"/>
  <c r="I27" i="28"/>
  <c r="I13" i="28"/>
  <c r="I15" i="28"/>
  <c r="I7" i="28"/>
  <c r="I16" i="28"/>
  <c r="K10" i="23" s="1"/>
  <c r="I8" i="28"/>
  <c r="I14" i="28"/>
  <c r="I11" i="28"/>
  <c r="I10" i="28"/>
  <c r="I9" i="28"/>
  <c r="I12" i="28"/>
  <c r="P10" i="23" l="1"/>
  <c r="K11" i="23"/>
  <c r="B1" i="30"/>
  <c r="B1" i="28"/>
  <c r="B1" i="26"/>
  <c r="B1" i="27"/>
  <c r="L29" i="5"/>
  <c r="L30" i="5"/>
  <c r="L31" i="5"/>
  <c r="L27" i="5"/>
  <c r="L28" i="5"/>
  <c r="L26" i="5"/>
  <c r="I26" i="5"/>
  <c r="I27" i="5"/>
  <c r="I28" i="5"/>
  <c r="B4" i="40" l="1"/>
  <c r="C29" i="26"/>
  <c r="D29" i="26" s="1"/>
  <c r="I29" i="26" s="1"/>
  <c r="C25" i="26"/>
  <c r="E25" i="26" s="1"/>
  <c r="B50" i="32"/>
  <c r="C50" i="32" s="1"/>
  <c r="E50" i="32" s="1"/>
  <c r="L9" i="15" s="1"/>
  <c r="B25" i="26"/>
  <c r="D25" i="26" s="1"/>
  <c r="B54" i="32"/>
  <c r="C54" i="32" s="1"/>
  <c r="E54" i="32" s="1"/>
  <c r="L12" i="15" s="1"/>
  <c r="J46" i="27"/>
  <c r="J48" i="27" s="1"/>
  <c r="J7" i="27"/>
  <c r="K7" i="27" s="1"/>
  <c r="A47" i="27" s="1"/>
  <c r="C33" i="26"/>
  <c r="B49" i="26"/>
  <c r="C49" i="26" s="1"/>
  <c r="D49" i="26" s="1"/>
  <c r="E49" i="26" s="1"/>
  <c r="I49" i="26" s="1"/>
  <c r="L21" i="15" s="1"/>
  <c r="M2" i="15"/>
  <c r="M7" i="15" s="1"/>
  <c r="L6" i="15"/>
  <c r="B58" i="32"/>
  <c r="C58" i="32" s="1"/>
  <c r="E58" i="32" s="1"/>
  <c r="C10" i="26"/>
  <c r="D10" i="26" s="1"/>
  <c r="I10" i="26" s="1"/>
  <c r="L22" i="15" s="1"/>
  <c r="BB5" i="22"/>
  <c r="B29" i="34" s="1"/>
  <c r="C19" i="30"/>
  <c r="L39" i="15" s="1"/>
  <c r="B17" i="27"/>
  <c r="E17" i="27" s="1"/>
  <c r="L30" i="15" s="1"/>
  <c r="B26" i="27"/>
  <c r="B22" i="27"/>
  <c r="C12" i="27"/>
  <c r="E12" i="27" s="1"/>
  <c r="G12" i="27" s="1"/>
  <c r="H12" i="27" s="1"/>
  <c r="I12" i="27" s="1"/>
  <c r="C37" i="27"/>
  <c r="C36" i="26"/>
  <c r="E36" i="26" s="1"/>
  <c r="F36" i="26" s="1"/>
  <c r="C40" i="27"/>
  <c r="D40" i="27" s="1"/>
  <c r="E40" i="27" s="1"/>
  <c r="D42" i="27"/>
  <c r="D1" i="26"/>
  <c r="F24" i="26" s="1"/>
  <c r="B10" i="27"/>
  <c r="C10" i="27" s="1"/>
  <c r="E10" i="27" s="1"/>
  <c r="G10" i="27" s="1"/>
  <c r="H10" i="27" s="1"/>
  <c r="I10" i="27" s="1"/>
  <c r="C36" i="27"/>
  <c r="D36" i="27" s="1"/>
  <c r="C35" i="27"/>
  <c r="D35" i="27" s="1"/>
  <c r="C34" i="27"/>
  <c r="D34" i="27" s="1"/>
  <c r="F34" i="27" s="1"/>
  <c r="AN5" i="22"/>
  <c r="E20" i="23"/>
  <c r="E18" i="23"/>
  <c r="AZ5" i="22"/>
  <c r="AR5" i="22"/>
  <c r="AX5" i="22"/>
  <c r="S11" i="22"/>
  <c r="B52" i="26" s="1"/>
  <c r="C52" i="26" s="1"/>
  <c r="E52" i="26" s="1"/>
  <c r="AP5" i="22"/>
  <c r="B5" i="22" s="1"/>
  <c r="AV5" i="22"/>
  <c r="E24" i="23"/>
  <c r="AL5" i="22"/>
  <c r="C37" i="26"/>
  <c r="C38" i="26"/>
  <c r="D38" i="26" s="1"/>
  <c r="C39" i="26"/>
  <c r="B5" i="27"/>
  <c r="C5" i="27" s="1"/>
  <c r="F5" i="22" l="1"/>
  <c r="E3" i="23" s="1"/>
  <c r="M36" i="23" s="1"/>
  <c r="B3" i="34"/>
  <c r="E25" i="23"/>
  <c r="B8" i="40"/>
  <c r="C8" i="40" s="1"/>
  <c r="E8" i="40" s="1"/>
  <c r="E21" i="23"/>
  <c r="E23" i="23"/>
  <c r="E38" i="23"/>
  <c r="C18" i="30" s="1"/>
  <c r="K38" i="23" s="1"/>
  <c r="E22" i="23"/>
  <c r="E19" i="23"/>
  <c r="B16" i="34"/>
  <c r="B40" i="34" s="1"/>
  <c r="M7" i="39"/>
  <c r="E15" i="23"/>
  <c r="L15" i="23" s="1"/>
  <c r="B27" i="34"/>
  <c r="M22" i="15"/>
  <c r="K22" i="15" s="1"/>
  <c r="M12" i="15"/>
  <c r="K12" i="15" s="1"/>
  <c r="M9" i="15"/>
  <c r="K9" i="15" s="1"/>
  <c r="M6" i="15"/>
  <c r="K6" i="15" s="1"/>
  <c r="L11" i="22"/>
  <c r="D43" i="26" s="1"/>
  <c r="F43" i="26" s="1"/>
  <c r="E45" i="26"/>
  <c r="D33" i="26"/>
  <c r="I33" i="26" s="1"/>
  <c r="L26" i="15" s="1"/>
  <c r="M26" i="15" s="1"/>
  <c r="G26" i="15" s="1"/>
  <c r="M38" i="15"/>
  <c r="G38" i="15" s="1"/>
  <c r="M35" i="15"/>
  <c r="M36" i="15"/>
  <c r="M37" i="15"/>
  <c r="M10" i="15"/>
  <c r="M13" i="15"/>
  <c r="M14" i="15"/>
  <c r="K14" i="15" s="1"/>
  <c r="M11" i="15"/>
  <c r="K11" i="15" s="1"/>
  <c r="M15" i="15"/>
  <c r="K15" i="15" s="1"/>
  <c r="M5" i="15"/>
  <c r="K5" i="15" s="1"/>
  <c r="M17" i="15"/>
  <c r="K17" i="15" s="1"/>
  <c r="M16" i="15"/>
  <c r="M8" i="15"/>
  <c r="K8" i="15" s="1"/>
  <c r="M4" i="15"/>
  <c r="D45" i="26"/>
  <c r="I25" i="26"/>
  <c r="E22" i="27"/>
  <c r="L28" i="15" s="1"/>
  <c r="M28" i="15" s="1"/>
  <c r="J12" i="27"/>
  <c r="K12" i="27" s="1"/>
  <c r="L31" i="15" s="1"/>
  <c r="M31" i="15" s="1"/>
  <c r="G31" i="15" s="1"/>
  <c r="E26" i="27"/>
  <c r="L29" i="15" s="1"/>
  <c r="M29" i="15" s="1"/>
  <c r="G29" i="15" s="1"/>
  <c r="M21" i="15"/>
  <c r="E42" i="27"/>
  <c r="J37" i="27"/>
  <c r="M30" i="15"/>
  <c r="G30" i="15" s="1"/>
  <c r="M11" i="22"/>
  <c r="C9" i="26" s="1"/>
  <c r="D9" i="26" s="1"/>
  <c r="M39" i="15"/>
  <c r="G39" i="15" s="1"/>
  <c r="C18" i="26"/>
  <c r="C5" i="26"/>
  <c r="E5" i="26" s="1"/>
  <c r="G32" i="26"/>
  <c r="F32" i="26"/>
  <c r="D36" i="26"/>
  <c r="D39" i="26"/>
  <c r="E39" i="26"/>
  <c r="F39" i="26" s="1"/>
  <c r="D37" i="26"/>
  <c r="E37" i="26"/>
  <c r="F37" i="26" s="1"/>
  <c r="C13" i="26"/>
  <c r="E13" i="26" s="1"/>
  <c r="E28" i="26"/>
  <c r="B12" i="40"/>
  <c r="C12" i="40" s="1"/>
  <c r="E12" i="40" s="1"/>
  <c r="I6" i="39"/>
  <c r="B49" i="32"/>
  <c r="C49" i="32" s="1"/>
  <c r="E49" i="32" s="1"/>
  <c r="C4" i="40"/>
  <c r="E4" i="40" s="1"/>
  <c r="D5" i="26"/>
  <c r="F5" i="26" s="1"/>
  <c r="B13" i="26"/>
  <c r="D13" i="26" s="1"/>
  <c r="J36" i="27"/>
  <c r="J35" i="27"/>
  <c r="J34" i="27"/>
  <c r="E16" i="23"/>
  <c r="L16" i="23" s="1"/>
  <c r="E10" i="23"/>
  <c r="L10" i="23" s="1"/>
  <c r="B22" i="34"/>
  <c r="M13" i="39"/>
  <c r="I13" i="39"/>
  <c r="B7" i="34"/>
  <c r="I8" i="39"/>
  <c r="I7" i="39"/>
  <c r="K6" i="39"/>
  <c r="B15" i="34"/>
  <c r="K5" i="39"/>
  <c r="I4" i="39"/>
  <c r="B20" i="34"/>
  <c r="B43" i="34" s="1"/>
  <c r="M5" i="39"/>
  <c r="B4" i="34"/>
  <c r="E11" i="23"/>
  <c r="L11" i="23" s="1"/>
  <c r="K4" i="39"/>
  <c r="B17" i="34"/>
  <c r="B41" i="34" s="1"/>
  <c r="M8" i="39"/>
  <c r="B21" i="34"/>
  <c r="I12" i="39"/>
  <c r="M12" i="39"/>
  <c r="B24" i="34"/>
  <c r="I15" i="39"/>
  <c r="M15" i="39"/>
  <c r="K9" i="39"/>
  <c r="B28" i="34"/>
  <c r="I19" i="39"/>
  <c r="M19" i="39"/>
  <c r="B12" i="34"/>
  <c r="K8" i="39"/>
  <c r="B19" i="34"/>
  <c r="M6" i="39"/>
  <c r="B8" i="34"/>
  <c r="I9" i="39"/>
  <c r="B53" i="32"/>
  <c r="C53" i="32" s="1"/>
  <c r="E53" i="32" s="1"/>
  <c r="B26" i="34"/>
  <c r="B46" i="34" s="1"/>
  <c r="M14" i="39"/>
  <c r="I14" i="39"/>
  <c r="G24" i="26"/>
  <c r="B6" i="34"/>
  <c r="I11" i="39"/>
  <c r="M11" i="39"/>
  <c r="B10" i="34"/>
  <c r="I5" i="39"/>
  <c r="I20" i="39"/>
  <c r="M20" i="39"/>
  <c r="K7" i="39"/>
  <c r="E12" i="23"/>
  <c r="B9" i="34"/>
  <c r="D37" i="27"/>
  <c r="E37" i="27" s="1"/>
  <c r="F14" i="26"/>
  <c r="G14" i="26" s="1"/>
  <c r="H14" i="26" s="1"/>
  <c r="I14" i="26" s="1"/>
  <c r="L25" i="15" s="1"/>
  <c r="M25" i="15" s="1"/>
  <c r="G25" i="15" s="1"/>
  <c r="E6" i="26"/>
  <c r="G6" i="26" s="1"/>
  <c r="I6" i="26" s="1"/>
  <c r="J6" i="26" s="1"/>
  <c r="I52" i="26"/>
  <c r="E41" i="23"/>
  <c r="E13" i="23"/>
  <c r="B14" i="34"/>
  <c r="E14" i="23"/>
  <c r="B13" i="34"/>
  <c r="E26" i="23"/>
  <c r="B11" i="34"/>
  <c r="B23" i="34"/>
  <c r="E31" i="23"/>
  <c r="E30" i="23"/>
  <c r="E17" i="23"/>
  <c r="L17" i="23" s="1"/>
  <c r="E34" i="27"/>
  <c r="F35" i="27"/>
  <c r="E35" i="27"/>
  <c r="E36" i="27"/>
  <c r="F36" i="27"/>
  <c r="I11" i="22"/>
  <c r="B24" i="26" s="1"/>
  <c r="D24" i="26" s="1"/>
  <c r="N11" i="22"/>
  <c r="C32" i="26" s="1"/>
  <c r="I32" i="26" s="1"/>
  <c r="J11" i="22"/>
  <c r="C28" i="26" s="1"/>
  <c r="D28" i="26" s="1"/>
  <c r="E38" i="26"/>
  <c r="F38" i="26" s="1"/>
  <c r="E5" i="27"/>
  <c r="G6" i="5"/>
  <c r="J6" i="5" s="1"/>
  <c r="G7" i="5"/>
  <c r="J7" i="5" s="1"/>
  <c r="AI5" i="22" l="1"/>
  <c r="S5" i="22"/>
  <c r="AG5" i="22"/>
  <c r="AO5" i="22"/>
  <c r="F32" i="23" s="1"/>
  <c r="AW5" i="22"/>
  <c r="O5" i="22"/>
  <c r="F20" i="23" s="1"/>
  <c r="B5" i="34"/>
  <c r="C5" i="22"/>
  <c r="AY5" i="22"/>
  <c r="C27" i="34" s="1"/>
  <c r="Q5" i="22"/>
  <c r="E36" i="23"/>
  <c r="L7" i="23" s="1"/>
  <c r="M5" i="22"/>
  <c r="F25" i="23" s="1"/>
  <c r="BC5" i="22"/>
  <c r="F41" i="23" s="1"/>
  <c r="AA5" i="22"/>
  <c r="M11" i="23"/>
  <c r="E37" i="23"/>
  <c r="L37" i="23" s="1"/>
  <c r="N37" i="23" s="1"/>
  <c r="K5" i="22"/>
  <c r="J8" i="39" s="1"/>
  <c r="U5" i="22"/>
  <c r="L8" i="39" s="1"/>
  <c r="I5" i="22"/>
  <c r="F12" i="23" s="1"/>
  <c r="E5" i="22"/>
  <c r="F10" i="23" s="1"/>
  <c r="N10" i="23" s="1"/>
  <c r="AS5" i="22"/>
  <c r="Y5" i="22"/>
  <c r="F21" i="23" s="1"/>
  <c r="AE5" i="22"/>
  <c r="N8" i="39" s="1"/>
  <c r="M16" i="23"/>
  <c r="M37" i="23"/>
  <c r="BG5" i="22"/>
  <c r="C31" i="34" s="1"/>
  <c r="AC5" i="22"/>
  <c r="C16" i="34" s="1"/>
  <c r="AM5" i="22"/>
  <c r="J12" i="39" s="1"/>
  <c r="AQ5" i="22"/>
  <c r="C23" i="34" s="1"/>
  <c r="BA5" i="22"/>
  <c r="J19" i="39" s="1"/>
  <c r="M35" i="23"/>
  <c r="BE5" i="22"/>
  <c r="C30" i="34" s="1"/>
  <c r="AK5" i="22"/>
  <c r="F28" i="23" s="1"/>
  <c r="M15" i="23"/>
  <c r="W5" i="22"/>
  <c r="F24" i="23" s="1"/>
  <c r="E35" i="23"/>
  <c r="L35" i="23" s="1"/>
  <c r="M17" i="23"/>
  <c r="AU5" i="22"/>
  <c r="J16" i="39" s="1"/>
  <c r="M10" i="23"/>
  <c r="M4" i="39"/>
  <c r="G5" i="22"/>
  <c r="F37" i="23" s="1"/>
  <c r="K14" i="23"/>
  <c r="P14" i="23" s="1"/>
  <c r="F27" i="23"/>
  <c r="C17" i="26"/>
  <c r="F18" i="23"/>
  <c r="F23" i="23"/>
  <c r="F22" i="23"/>
  <c r="E27" i="23"/>
  <c r="F45" i="26"/>
  <c r="I45" i="26" s="1"/>
  <c r="G7" i="15"/>
  <c r="K16" i="15"/>
  <c r="G16" i="15"/>
  <c r="K13" i="15"/>
  <c r="G13" i="15"/>
  <c r="K10" i="15"/>
  <c r="G10" i="15"/>
  <c r="G35" i="15"/>
  <c r="D18" i="26"/>
  <c r="E18" i="26" s="1"/>
  <c r="I18" i="26" s="1"/>
  <c r="L27" i="15" s="1"/>
  <c r="M27" i="15" s="1"/>
  <c r="G27" i="15" s="1"/>
  <c r="G4" i="15"/>
  <c r="K4" i="15"/>
  <c r="K21" i="15"/>
  <c r="G21" i="15"/>
  <c r="K7" i="15"/>
  <c r="G37" i="26"/>
  <c r="K12" i="23"/>
  <c r="K13" i="23"/>
  <c r="P13" i="23" s="1"/>
  <c r="G39" i="26"/>
  <c r="H32" i="26"/>
  <c r="G5" i="26"/>
  <c r="I5" i="26" s="1"/>
  <c r="J5" i="26" s="1"/>
  <c r="K18" i="23" s="1"/>
  <c r="P18" i="23" s="1"/>
  <c r="L36" i="23"/>
  <c r="F14" i="23"/>
  <c r="F13" i="26"/>
  <c r="K41" i="23"/>
  <c r="J38" i="27"/>
  <c r="J5" i="39"/>
  <c r="I9" i="26"/>
  <c r="G45" i="32"/>
  <c r="G37" i="32"/>
  <c r="G41" i="32"/>
  <c r="B33" i="34"/>
  <c r="B50" i="34" s="1"/>
  <c r="M10" i="39"/>
  <c r="M18" i="39"/>
  <c r="C19" i="34"/>
  <c r="N6" i="39"/>
  <c r="N11" i="39"/>
  <c r="N9" i="39"/>
  <c r="M9" i="39"/>
  <c r="N12" i="39"/>
  <c r="I18" i="39"/>
  <c r="C15" i="34"/>
  <c r="L5" i="39"/>
  <c r="C8" i="34"/>
  <c r="J9" i="39"/>
  <c r="I10" i="39"/>
  <c r="C25" i="34"/>
  <c r="N16" i="39"/>
  <c r="F36" i="23"/>
  <c r="C24" i="34"/>
  <c r="J15" i="39"/>
  <c r="N15" i="39"/>
  <c r="C3" i="34"/>
  <c r="J4" i="39"/>
  <c r="C9" i="34"/>
  <c r="J6" i="39"/>
  <c r="C26" i="34"/>
  <c r="N14" i="39"/>
  <c r="J14" i="39"/>
  <c r="F34" i="23"/>
  <c r="N13" i="39"/>
  <c r="C11" i="34"/>
  <c r="L7" i="39"/>
  <c r="G36" i="26"/>
  <c r="H20" i="32"/>
  <c r="H33" i="32"/>
  <c r="H30" i="32"/>
  <c r="H31" i="32"/>
  <c r="H29" i="32"/>
  <c r="H21" i="32"/>
  <c r="H18" i="32"/>
  <c r="H19" i="32"/>
  <c r="H32" i="32"/>
  <c r="F37" i="27"/>
  <c r="F38" i="27" s="1"/>
  <c r="F40" i="27" s="1"/>
  <c r="J40" i="27" s="1"/>
  <c r="G5" i="27"/>
  <c r="H5" i="27" s="1"/>
  <c r="I5" i="27" s="1"/>
  <c r="L24" i="15"/>
  <c r="M24" i="15" s="1"/>
  <c r="K24" i="15" s="1"/>
  <c r="H16" i="32"/>
  <c r="G7" i="32"/>
  <c r="G9" i="32"/>
  <c r="G8" i="32"/>
  <c r="H15" i="32"/>
  <c r="H14" i="32"/>
  <c r="H17" i="32"/>
  <c r="H27" i="32"/>
  <c r="H13" i="32"/>
  <c r="H25" i="32"/>
  <c r="H24" i="32"/>
  <c r="G6" i="32"/>
  <c r="H28" i="32"/>
  <c r="G5" i="32"/>
  <c r="H26" i="32"/>
  <c r="E43" i="26"/>
  <c r="G43" i="26" s="1"/>
  <c r="F33" i="23"/>
  <c r="C7" i="34"/>
  <c r="F38" i="23"/>
  <c r="C22" i="34"/>
  <c r="I28" i="26"/>
  <c r="F35" i="23"/>
  <c r="B48" i="26"/>
  <c r="C48" i="26" s="1"/>
  <c r="D48" i="26" s="1"/>
  <c r="E48" i="26" s="1"/>
  <c r="F30" i="23"/>
  <c r="F31" i="23"/>
  <c r="B18" i="34"/>
  <c r="B42" i="34" s="1"/>
  <c r="C24" i="26"/>
  <c r="E24" i="26" s="1"/>
  <c r="G27" i="26" s="1"/>
  <c r="C5" i="34"/>
  <c r="C10" i="34"/>
  <c r="B45" i="34"/>
  <c r="B32" i="34"/>
  <c r="B48" i="34" s="1"/>
  <c r="H34" i="27"/>
  <c r="H36" i="27"/>
  <c r="H35" i="27"/>
  <c r="K11" i="22"/>
  <c r="M6" i="5"/>
  <c r="M7" i="5"/>
  <c r="G38" i="26"/>
  <c r="E32" i="23"/>
  <c r="E29" i="23"/>
  <c r="J10" i="27" s="1"/>
  <c r="K10" i="27" s="1"/>
  <c r="L10" i="27" s="1"/>
  <c r="E33" i="23"/>
  <c r="E34" i="23"/>
  <c r="E28" i="23"/>
  <c r="L4" i="39" l="1"/>
  <c r="F13" i="23"/>
  <c r="J11" i="39"/>
  <c r="C12" i="34"/>
  <c r="J7" i="39"/>
  <c r="N20" i="39"/>
  <c r="J20" i="39"/>
  <c r="F15" i="23"/>
  <c r="N15" i="23" s="1"/>
  <c r="C6" i="34"/>
  <c r="F29" i="23"/>
  <c r="F17" i="23"/>
  <c r="N17" i="23" s="1"/>
  <c r="C4" i="34"/>
  <c r="N7" i="39"/>
  <c r="C29" i="34"/>
  <c r="F11" i="23"/>
  <c r="N11" i="23" s="1"/>
  <c r="F16" i="23"/>
  <c r="N16" i="23" s="1"/>
  <c r="J13" i="39"/>
  <c r="J17" i="39"/>
  <c r="J10" i="39" s="1"/>
  <c r="N17" i="39"/>
  <c r="N10" i="39" s="1"/>
  <c r="L9" i="39"/>
  <c r="C20" i="34"/>
  <c r="N19" i="39"/>
  <c r="F26" i="23"/>
  <c r="N5" i="39"/>
  <c r="N21" i="39"/>
  <c r="C28" i="34"/>
  <c r="J21" i="39"/>
  <c r="C17" i="34"/>
  <c r="N35" i="23"/>
  <c r="F19" i="23"/>
  <c r="C21" i="34"/>
  <c r="C13" i="34"/>
  <c r="C14" i="34"/>
  <c r="N4" i="39"/>
  <c r="L6" i="39"/>
  <c r="P12" i="23"/>
  <c r="F42" i="27"/>
  <c r="N36" i="23"/>
  <c r="L38" i="23"/>
  <c r="N38" i="23" s="1"/>
  <c r="M38" i="23"/>
  <c r="G13" i="26"/>
  <c r="H13" i="26" s="1"/>
  <c r="I13" i="26" s="1"/>
  <c r="L13" i="23"/>
  <c r="N13" i="23" s="1"/>
  <c r="M13" i="23"/>
  <c r="L14" i="23"/>
  <c r="N14" i="23" s="1"/>
  <c r="M14" i="23"/>
  <c r="L41" i="23"/>
  <c r="N41" i="23" s="1"/>
  <c r="M41" i="23"/>
  <c r="I24" i="26"/>
  <c r="G40" i="26"/>
  <c r="H43" i="26" s="1"/>
  <c r="I43" i="26" s="1"/>
  <c r="K20" i="23" s="1"/>
  <c r="P20" i="23" s="1"/>
  <c r="K22" i="23"/>
  <c r="P22" i="23" s="1"/>
  <c r="H42" i="27"/>
  <c r="B47" i="27" s="1"/>
  <c r="C47" i="27" s="1"/>
  <c r="J41" i="27"/>
  <c r="J5" i="27"/>
  <c r="K5" i="27" s="1"/>
  <c r="K19" i="23"/>
  <c r="P19" i="23" s="1"/>
  <c r="K26" i="23"/>
  <c r="P26" i="23" s="1"/>
  <c r="K29" i="23"/>
  <c r="L23" i="15"/>
  <c r="M23" i="15" s="1"/>
  <c r="K23" i="15" s="1"/>
  <c r="H40" i="27"/>
  <c r="D32" i="26"/>
  <c r="J32" i="26" s="1"/>
  <c r="D17" i="26"/>
  <c r="I48" i="26"/>
  <c r="C48" i="34"/>
  <c r="C18" i="34"/>
  <c r="C32" i="34"/>
  <c r="H37" i="27"/>
  <c r="J18" i="39"/>
  <c r="N18" i="39"/>
  <c r="C45" i="34"/>
  <c r="C43" i="34"/>
  <c r="C50" i="34"/>
  <c r="C47" i="34"/>
  <c r="C46" i="34"/>
  <c r="C41" i="34"/>
  <c r="C42" i="34"/>
  <c r="C40" i="34"/>
  <c r="B25" i="27"/>
  <c r="E25" i="27" s="1"/>
  <c r="B15" i="27"/>
  <c r="B20" i="27"/>
  <c r="E20" i="27" s="1"/>
  <c r="K33" i="23" s="1"/>
  <c r="M33" i="23" s="1"/>
  <c r="G10" i="5"/>
  <c r="M10" i="5" s="1"/>
  <c r="C33" i="34" l="1"/>
  <c r="M29" i="23"/>
  <c r="P29" i="23"/>
  <c r="K34" i="23"/>
  <c r="M34" i="23" s="1"/>
  <c r="L26" i="23"/>
  <c r="L22" i="23"/>
  <c r="L19" i="23"/>
  <c r="L18" i="23"/>
  <c r="N18" i="23" s="1"/>
  <c r="E17" i="26"/>
  <c r="K27" i="23"/>
  <c r="P27" i="23" s="1"/>
  <c r="L33" i="15"/>
  <c r="M33" i="15" s="1"/>
  <c r="G33" i="15" s="1"/>
  <c r="L32" i="15"/>
  <c r="M32" i="15" s="1"/>
  <c r="G32" i="15" s="1"/>
  <c r="L34" i="15"/>
  <c r="M34" i="15" s="1"/>
  <c r="G34" i="15" s="1"/>
  <c r="L5" i="27"/>
  <c r="M5" i="27" s="1"/>
  <c r="K30" i="23"/>
  <c r="P30" i="23" s="1"/>
  <c r="I44" i="26"/>
  <c r="K25" i="23" s="1"/>
  <c r="E15" i="27"/>
  <c r="K32" i="23" s="1"/>
  <c r="K21" i="23"/>
  <c r="P21" i="23" s="1"/>
  <c r="K23" i="23"/>
  <c r="P23" i="23" s="1"/>
  <c r="K31" i="23"/>
  <c r="P31" i="23" s="1"/>
  <c r="K24" i="23"/>
  <c r="P24" i="23" s="1"/>
  <c r="G23" i="15"/>
  <c r="L33" i="23"/>
  <c r="F20" i="27"/>
  <c r="G20" i="27" s="1"/>
  <c r="M10" i="27"/>
  <c r="L29" i="23"/>
  <c r="F25" i="27"/>
  <c r="G25" i="27" s="1"/>
  <c r="J10" i="5"/>
  <c r="E7" i="5"/>
  <c r="L34" i="23" l="1"/>
  <c r="N34" i="23" s="1"/>
  <c r="M19" i="23"/>
  <c r="N19" i="23"/>
  <c r="M22" i="23"/>
  <c r="N22" i="23"/>
  <c r="M26" i="23"/>
  <c r="N26" i="23"/>
  <c r="M18" i="23"/>
  <c r="L32" i="23"/>
  <c r="N32" i="23" s="1"/>
  <c r="M32" i="23"/>
  <c r="L30" i="23"/>
  <c r="N30" i="23" s="1"/>
  <c r="M30" i="23"/>
  <c r="L31" i="23"/>
  <c r="N31" i="23" s="1"/>
  <c r="M31" i="23"/>
  <c r="L21" i="23"/>
  <c r="L25" i="23"/>
  <c r="L27" i="23"/>
  <c r="L23" i="23"/>
  <c r="N23" i="23" s="1"/>
  <c r="L24" i="23"/>
  <c r="N24" i="23" s="1"/>
  <c r="I17" i="26"/>
  <c r="K28" i="23" s="1"/>
  <c r="Q7" i="23" s="1"/>
  <c r="R7" i="23" s="1"/>
  <c r="F15" i="27"/>
  <c r="G15" i="27" s="1"/>
  <c r="N29" i="23"/>
  <c r="N33" i="23"/>
  <c r="G9" i="5"/>
  <c r="M25" i="23" l="1"/>
  <c r="N25" i="23"/>
  <c r="M27" i="23"/>
  <c r="N27" i="23"/>
  <c r="M21" i="23"/>
  <c r="N21" i="23"/>
  <c r="M23" i="23"/>
  <c r="M24" i="23"/>
  <c r="L28" i="23"/>
  <c r="L20" i="23"/>
  <c r="L20" i="15"/>
  <c r="M20" i="15" s="1"/>
  <c r="G20" i="15" s="1"/>
  <c r="M9" i="5"/>
  <c r="J9" i="5"/>
  <c r="M20" i="23" l="1"/>
  <c r="N20" i="23"/>
  <c r="M28" i="23"/>
  <c r="N28" i="23"/>
  <c r="E6" i="5"/>
  <c r="E10" i="5" l="1"/>
  <c r="E5" i="5"/>
  <c r="E3" i="5" l="1"/>
  <c r="E2" i="5"/>
  <c r="E9" i="5"/>
  <c r="E4" i="5"/>
  <c r="U12" i="14" l="1"/>
  <c r="U11" i="14"/>
  <c r="T11" i="14" s="1"/>
  <c r="U10" i="14"/>
  <c r="T10" i="14" s="1"/>
  <c r="O14" i="14"/>
  <c r="O15" i="14"/>
  <c r="E17" i="5"/>
  <c r="L42" i="5"/>
  <c r="I42" i="5"/>
  <c r="E22" i="5"/>
  <c r="L22" i="5"/>
  <c r="I22" i="5"/>
  <c r="G22" i="5"/>
  <c r="E42" i="5"/>
  <c r="L8" i="5"/>
  <c r="I8" i="5"/>
  <c r="G8" i="5"/>
  <c r="E8" i="5"/>
  <c r="G38" i="5"/>
  <c r="L38" i="5"/>
  <c r="I38" i="5"/>
  <c r="E16" i="5"/>
  <c r="L16" i="5"/>
  <c r="I16" i="5"/>
  <c r="L14" i="5"/>
  <c r="I14" i="5"/>
  <c r="L13" i="5"/>
  <c r="M13" i="5" s="1"/>
  <c r="I13" i="5"/>
  <c r="J13" i="5" s="1"/>
  <c r="E14" i="5"/>
  <c r="E35" i="5"/>
  <c r="N16" i="14" l="1"/>
  <c r="T12" i="14" s="1"/>
  <c r="M8" i="5"/>
  <c r="M22" i="5"/>
  <c r="J38" i="5"/>
  <c r="M38" i="5"/>
  <c r="T13" i="14" l="1"/>
  <c r="G16" i="5"/>
  <c r="J16" i="5" s="1"/>
  <c r="V10" i="14" l="1"/>
  <c r="V11" i="14"/>
  <c r="V12" i="14"/>
  <c r="G14" i="5"/>
  <c r="J14" i="5" s="1"/>
  <c r="N87" i="14"/>
  <c r="I6" i="14"/>
  <c r="K4" i="14"/>
  <c r="N17" i="14" l="1"/>
  <c r="O17" i="14"/>
  <c r="T1" i="28" s="1"/>
  <c r="E47" i="5"/>
  <c r="I34" i="5"/>
  <c r="I2" i="5"/>
  <c r="R1" i="28" l="1"/>
  <c r="I1" i="40"/>
  <c r="G5" i="5"/>
  <c r="G4" i="5"/>
  <c r="F4" i="5"/>
  <c r="F5" i="5"/>
  <c r="F7" i="5"/>
  <c r="F6" i="5"/>
  <c r="F9" i="5"/>
  <c r="F10" i="5"/>
  <c r="F8" i="5"/>
  <c r="F22" i="5"/>
  <c r="G42" i="5"/>
  <c r="F14" i="5"/>
  <c r="E39" i="5"/>
  <c r="F39" i="5" s="1"/>
  <c r="E38" i="5"/>
  <c r="F13" i="5"/>
  <c r="P13" i="5" s="1"/>
  <c r="F42" i="5"/>
  <c r="M16" i="5"/>
  <c r="F16" i="5"/>
  <c r="E11" i="5"/>
  <c r="M37" i="5"/>
  <c r="J37" i="5"/>
  <c r="E74" i="40" l="1"/>
  <c r="F74" i="40" s="1"/>
  <c r="G30" i="40"/>
  <c r="H30" i="40" s="1"/>
  <c r="E60" i="40"/>
  <c r="F60" i="40" s="1"/>
  <c r="G17" i="28"/>
  <c r="H17" i="28"/>
  <c r="H31" i="28"/>
  <c r="G31" i="28"/>
  <c r="Q9" i="5"/>
  <c r="M4" i="5"/>
  <c r="J4" i="5"/>
  <c r="O6" i="5"/>
  <c r="Q6" i="5"/>
  <c r="P6" i="5"/>
  <c r="Q7" i="5"/>
  <c r="P7" i="5"/>
  <c r="O7" i="5"/>
  <c r="J5" i="5"/>
  <c r="M5" i="5"/>
  <c r="Q5" i="5"/>
  <c r="P9" i="5"/>
  <c r="Q4" i="5"/>
  <c r="P4" i="5"/>
  <c r="O4" i="5"/>
  <c r="O9" i="5"/>
  <c r="Q10" i="5"/>
  <c r="P10" i="5"/>
  <c r="O10" i="5"/>
  <c r="M42" i="5"/>
  <c r="J42" i="5"/>
  <c r="Q16" i="5"/>
  <c r="O16" i="5"/>
  <c r="Q13" i="5"/>
  <c r="O13" i="5"/>
  <c r="Q42" i="5"/>
  <c r="P16" i="5"/>
  <c r="L34" i="5"/>
  <c r="I33" i="5"/>
  <c r="L33" i="5"/>
  <c r="I31" i="28" l="1"/>
  <c r="L18" i="15" s="1"/>
  <c r="M18" i="15" s="1"/>
  <c r="G18" i="15" s="1"/>
  <c r="I17" i="28"/>
  <c r="L19" i="15" s="1"/>
  <c r="M19" i="15" s="1"/>
  <c r="G19" i="15" s="1"/>
  <c r="P5" i="5"/>
  <c r="O5" i="5"/>
  <c r="P42" i="5"/>
  <c r="O42" i="5"/>
  <c r="L18" i="5"/>
  <c r="L17" i="5"/>
  <c r="L11" i="5"/>
  <c r="L3" i="5"/>
  <c r="I17" i="5"/>
  <c r="I11" i="5"/>
  <c r="L36" i="5"/>
  <c r="I36" i="5"/>
  <c r="M36" i="5" l="1"/>
  <c r="J36" i="5"/>
  <c r="Q8" i="5"/>
  <c r="Q14" i="5"/>
  <c r="Q19" i="5"/>
  <c r="Q20" i="5"/>
  <c r="Q21" i="5"/>
  <c r="Q22" i="5"/>
  <c r="Q23" i="5"/>
  <c r="Q24" i="5"/>
  <c r="Q25" i="5"/>
  <c r="Q32" i="5"/>
  <c r="Q39" i="5"/>
  <c r="G31" i="5"/>
  <c r="G29" i="5"/>
  <c r="L12" i="5"/>
  <c r="I31" i="5"/>
  <c r="I30" i="5"/>
  <c r="I12" i="5"/>
  <c r="I29" i="5"/>
  <c r="I18" i="5"/>
  <c r="L15" i="5"/>
  <c r="M15" i="5" s="1"/>
  <c r="I15" i="5"/>
  <c r="J15" i="5" s="1"/>
  <c r="M11" i="5"/>
  <c r="J11" i="5"/>
  <c r="I3" i="5"/>
  <c r="L2" i="5"/>
  <c r="M14" i="5"/>
  <c r="M19" i="5"/>
  <c r="P19" i="5" s="1"/>
  <c r="M20" i="5"/>
  <c r="M21" i="5"/>
  <c r="P22" i="5"/>
  <c r="M23" i="5"/>
  <c r="P23" i="5" s="1"/>
  <c r="M24" i="5"/>
  <c r="P24" i="5" s="1"/>
  <c r="M25" i="5"/>
  <c r="M32" i="5"/>
  <c r="M35" i="5"/>
  <c r="M39" i="5"/>
  <c r="P39" i="5" s="1"/>
  <c r="M40" i="5"/>
  <c r="M41" i="5"/>
  <c r="M43" i="5"/>
  <c r="M44" i="5"/>
  <c r="M45" i="5"/>
  <c r="M46" i="5"/>
  <c r="J8" i="5"/>
  <c r="O14" i="5"/>
  <c r="J19" i="5"/>
  <c r="O19" i="5" s="1"/>
  <c r="J20" i="5"/>
  <c r="O20" i="5" s="1"/>
  <c r="J21" i="5"/>
  <c r="J22" i="5"/>
  <c r="J23" i="5"/>
  <c r="O23" i="5" s="1"/>
  <c r="J24" i="5"/>
  <c r="O24" i="5" s="1"/>
  <c r="J25" i="5"/>
  <c r="J32" i="5"/>
  <c r="J35" i="5"/>
  <c r="J39" i="5"/>
  <c r="O39" i="5" s="1"/>
  <c r="J40" i="5"/>
  <c r="J41" i="5"/>
  <c r="J43" i="5"/>
  <c r="J44" i="5"/>
  <c r="J45" i="5"/>
  <c r="J46" i="5"/>
  <c r="P20" i="5"/>
  <c r="G30" i="5"/>
  <c r="F38" i="5"/>
  <c r="P14" i="5" l="1"/>
  <c r="G2" i="5"/>
  <c r="M29" i="5"/>
  <c r="O22" i="5"/>
  <c r="P8" i="5"/>
  <c r="O8" i="5"/>
  <c r="O38" i="5"/>
  <c r="P38" i="5"/>
  <c r="E30" i="5"/>
  <c r="F30" i="5" s="1"/>
  <c r="Q30" i="5" s="1"/>
  <c r="E26" i="5"/>
  <c r="E41" i="5"/>
  <c r="F41" i="5" s="1"/>
  <c r="Q41" i="5" s="1"/>
  <c r="E36" i="5"/>
  <c r="F36" i="5" s="1"/>
  <c r="E28" i="5"/>
  <c r="M31" i="5"/>
  <c r="E29" i="5"/>
  <c r="F29" i="5" s="1"/>
  <c r="E43" i="5"/>
  <c r="F43" i="5" s="1"/>
  <c r="Q43" i="5" s="1"/>
  <c r="P25" i="5"/>
  <c r="O25" i="5"/>
  <c r="J30" i="5"/>
  <c r="M30" i="5"/>
  <c r="J31" i="5"/>
  <c r="J29" i="5"/>
  <c r="P32" i="5"/>
  <c r="O21" i="5"/>
  <c r="O32" i="5"/>
  <c r="P21" i="5"/>
  <c r="J2" i="5" l="1"/>
  <c r="M2" i="5"/>
  <c r="F26" i="5"/>
  <c r="F28" i="5"/>
  <c r="Q36" i="5"/>
  <c r="Q29" i="5"/>
  <c r="E27" i="5"/>
  <c r="E31" i="5"/>
  <c r="F31" i="5" s="1"/>
  <c r="O31" i="5" s="1"/>
  <c r="F17" i="5"/>
  <c r="E46" i="5"/>
  <c r="F46" i="5" s="1"/>
  <c r="O46" i="5" s="1"/>
  <c r="E44" i="5"/>
  <c r="F44" i="5" s="1"/>
  <c r="Q44" i="5" s="1"/>
  <c r="E40" i="5"/>
  <c r="F40" i="5" s="1"/>
  <c r="O40" i="5" s="1"/>
  <c r="P36" i="5"/>
  <c r="E45" i="5"/>
  <c r="F45" i="5" s="1"/>
  <c r="O45" i="5" s="1"/>
  <c r="O43" i="5"/>
  <c r="P41" i="5"/>
  <c r="O36" i="5"/>
  <c r="O41" i="5"/>
  <c r="P43" i="5"/>
  <c r="F2" i="5"/>
  <c r="F3" i="5"/>
  <c r="P29" i="5"/>
  <c r="O30" i="5"/>
  <c r="O29" i="5"/>
  <c r="P30" i="5"/>
  <c r="E18" i="5"/>
  <c r="F18" i="5" s="1"/>
  <c r="Q31" i="5" l="1"/>
  <c r="F27" i="5"/>
  <c r="Q40" i="5"/>
  <c r="G28" i="5"/>
  <c r="P31" i="5"/>
  <c r="G18" i="5"/>
  <c r="M18" i="5" s="1"/>
  <c r="P40" i="5"/>
  <c r="O44" i="5"/>
  <c r="F11" i="5"/>
  <c r="P44" i="5"/>
  <c r="Q46" i="5"/>
  <c r="P46" i="5"/>
  <c r="E12" i="5"/>
  <c r="F12" i="5" s="1"/>
  <c r="G17" i="5"/>
  <c r="J17" i="5" s="1"/>
  <c r="Q45" i="5"/>
  <c r="P45" i="5"/>
  <c r="Q2" i="5"/>
  <c r="E33" i="5"/>
  <c r="F33" i="5" s="1"/>
  <c r="E34" i="5"/>
  <c r="G12" i="5"/>
  <c r="G3" i="5"/>
  <c r="E37" i="5"/>
  <c r="F37" i="5" s="1"/>
  <c r="Q12" i="5" l="1"/>
  <c r="F34" i="5"/>
  <c r="F35" i="5"/>
  <c r="G27" i="5"/>
  <c r="M28" i="5"/>
  <c r="Q28" i="5"/>
  <c r="J28" i="5"/>
  <c r="G26" i="5"/>
  <c r="J26" i="5" s="1"/>
  <c r="Q38" i="5"/>
  <c r="P11" i="5"/>
  <c r="O11" i="5"/>
  <c r="O37" i="5"/>
  <c r="P37" i="5"/>
  <c r="Q37" i="5"/>
  <c r="O17" i="5"/>
  <c r="Q11" i="5"/>
  <c r="Q17" i="5"/>
  <c r="M17" i="5"/>
  <c r="G34" i="5"/>
  <c r="J34" i="5" s="1"/>
  <c r="G33" i="5"/>
  <c r="E15" i="5"/>
  <c r="F15" i="5" s="1"/>
  <c r="Q3" i="5"/>
  <c r="J3" i="5"/>
  <c r="M3" i="5"/>
  <c r="M12" i="5"/>
  <c r="J12" i="5"/>
  <c r="O2" i="5"/>
  <c r="P2" i="5"/>
  <c r="O15" i="5" l="1"/>
  <c r="Q35" i="5"/>
  <c r="O35" i="5"/>
  <c r="P35" i="5"/>
  <c r="M26" i="5"/>
  <c r="Q26" i="5"/>
  <c r="O28" i="5"/>
  <c r="P28" i="5"/>
  <c r="M27" i="5"/>
  <c r="J27" i="5"/>
  <c r="Q27" i="5"/>
  <c r="P3" i="5"/>
  <c r="O12" i="5"/>
  <c r="P12" i="5"/>
  <c r="P17" i="5"/>
  <c r="O3" i="5"/>
  <c r="J33" i="5"/>
  <c r="M33" i="5"/>
  <c r="M34" i="5"/>
  <c r="Q34" i="5"/>
  <c r="Q33" i="5"/>
  <c r="Q15" i="5"/>
  <c r="P15" i="5"/>
  <c r="J18" i="5"/>
  <c r="Q18" i="5"/>
  <c r="O27" i="5" l="1"/>
  <c r="P27" i="5"/>
  <c r="O26" i="5"/>
  <c r="P26" i="5"/>
  <c r="O34" i="5"/>
  <c r="P33" i="5"/>
  <c r="P34" i="5"/>
  <c r="O33" i="5"/>
  <c r="Q47" i="5"/>
  <c r="P18" i="5"/>
  <c r="O18" i="5"/>
  <c r="P47" i="5" l="1"/>
  <c r="O47" i="5"/>
  <c r="B57" i="32"/>
  <c r="C57" i="32" s="1"/>
  <c r="B35" i="34"/>
  <c r="M12" i="23" l="1"/>
  <c r="E57" i="32"/>
  <c r="L12" i="23" l="1"/>
  <c r="N12" i="23" s="1"/>
  <c r="S2" i="23"/>
  <c r="R2" i="23" l="1"/>
  <c r="Q2" i="23"/>
  <c r="L4" i="37" l="1"/>
  <c r="O11" i="23" s="1"/>
  <c r="P11" i="23" s="1"/>
  <c r="L37" i="37"/>
  <c r="O25" i="23" s="1"/>
  <c r="P25" i="23" s="1"/>
  <c r="H38" i="41"/>
  <c r="L38" i="41" s="1"/>
  <c r="I20" i="15" s="1"/>
  <c r="H20" i="15" l="1"/>
  <c r="I1" i="15"/>
  <c r="S7"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tc={876472A4-5532-497D-AD08-EA52B600685B}</author>
    <author>Dominic Molinari</author>
  </authors>
  <commentList>
    <comment ref="L9" authorId="0" shapeId="0" xr:uid="{876472A4-5532-497D-AD08-EA52B600685B}">
      <text>
        <t>[Threaded comment]
Your version of Excel allows you to read this threaded comment; however, any edits to it will get removed if the file is opened in a newer version of Excel. Learn more: https://go.microsoft.com/fwlink/?linkid=870924
Comment:
    No longer used</t>
      </text>
    </comment>
    <comment ref="D18" authorId="1" shapeId="0" xr:uid="{939791AA-DFC3-4CC9-B61C-2C27EED906EE}">
      <text>
        <r>
          <rPr>
            <b/>
            <sz val="9"/>
            <color indexed="81"/>
            <rFont val="Tahoma"/>
            <family val="2"/>
          </rPr>
          <t>Assumption that weatherization influences max of 12% of bldg emissions from SLOPE data</t>
        </r>
      </text>
    </comment>
    <comment ref="D19" authorId="1" shapeId="0" xr:uid="{B3C26953-B742-49A6-81D8-6AD30C912ED1}">
      <text>
        <r>
          <rPr>
            <b/>
            <sz val="9"/>
            <color indexed="81"/>
            <rFont val="Tahoma"/>
            <family val="2"/>
          </rPr>
          <t>US EIA (Energy Information Agency) data shows appliances can make up 33% of total home electricity usage</t>
        </r>
      </text>
    </comment>
    <comment ref="D20" authorId="1" shapeId="0" xr:uid="{4BFEB605-E75F-4585-93E4-7F7722B1E516}">
      <text>
        <r>
          <rPr>
            <b/>
            <sz val="9"/>
            <color indexed="81"/>
            <rFont val="Tahoma"/>
            <family val="2"/>
          </rPr>
          <t>Assumption that HVAC makes up 85% of building fuel consumption</t>
        </r>
      </text>
    </comment>
    <comment ref="D21" authorId="1" shapeId="0" xr:uid="{89A04B63-5300-4841-A7D4-BCFBD35F61BF}">
      <text>
        <r>
          <rPr>
            <b/>
            <sz val="9"/>
            <color indexed="81"/>
            <rFont val="Tahoma"/>
            <family val="2"/>
          </rPr>
          <t>US EIA data shows lighting accounts for 8% of home energy usage</t>
        </r>
      </text>
    </comment>
    <comment ref="D22" authorId="1" shapeId="0" xr:uid="{04FA627A-4166-4D24-8EE7-AC2C9DF52310}">
      <text>
        <r>
          <rPr>
            <b/>
            <sz val="9"/>
            <color indexed="81"/>
            <rFont val="Tahoma"/>
            <family val="2"/>
          </rPr>
          <t>Thermostats estimated to influence 8% of energy usage from California Air Pollution Control Officers Association analysis</t>
        </r>
      </text>
    </comment>
    <comment ref="D23" authorId="1" shapeId="0" xr:uid="{93F9ED79-491E-4F8B-AA01-A7B6C5844F37}">
      <text>
        <r>
          <rPr>
            <b/>
            <sz val="9"/>
            <color indexed="81"/>
            <rFont val="Tahoma"/>
            <family val="2"/>
          </rPr>
          <t>Estimate of 15% total energy usage from hot water heating</t>
        </r>
      </text>
    </comment>
    <comment ref="D24" authorId="1" shapeId="0" xr:uid="{7FA1E728-7717-4433-B399-5948B438F587}">
      <text>
        <r>
          <rPr>
            <b/>
            <sz val="9"/>
            <color indexed="81"/>
            <rFont val="Tahoma"/>
            <family val="2"/>
          </rPr>
          <t>Assumption that weatherization influences max of 12% of bldg emissions from SLOPE data</t>
        </r>
      </text>
    </comment>
    <comment ref="D25" authorId="1" shapeId="0" xr:uid="{34894EF8-456D-4777-B782-37088EB450E3}">
      <text>
        <r>
          <rPr>
            <b/>
            <sz val="9"/>
            <color indexed="81"/>
            <rFont val="Tahoma"/>
            <family val="2"/>
          </rPr>
          <t>Assumption that HVAC makes up 85% of building fuel consumption</t>
        </r>
      </text>
    </comment>
    <comment ref="D26" authorId="1" shapeId="0" xr:uid="{E8908E95-558C-4756-B80B-744E2BFD3C0A}">
      <text>
        <r>
          <rPr>
            <b/>
            <sz val="9"/>
            <color indexed="81"/>
            <rFont val="Tahoma"/>
            <family val="2"/>
          </rPr>
          <t>US EIA data shows lighting makes up 10% of commercial electricity usage</t>
        </r>
      </text>
    </comment>
    <comment ref="D27" authorId="1" shapeId="0" xr:uid="{0BA62CCE-59B4-4CA2-B769-58346722F0E8}">
      <text>
        <r>
          <rPr>
            <b/>
            <sz val="9"/>
            <color indexed="81"/>
            <rFont val="Tahoma"/>
            <family val="2"/>
          </rPr>
          <t>Thermostats estimated to influence 8% of energy usage from California Air Pollution Control Officers Association analysis</t>
        </r>
      </text>
    </comment>
    <comment ref="D28" authorId="1" shapeId="0" xr:uid="{5FAFAA61-BA5E-496A-98CE-ECCC83D368EF}">
      <text>
        <r>
          <rPr>
            <b/>
            <sz val="9"/>
            <color indexed="81"/>
            <rFont val="Tahoma"/>
            <family val="2"/>
          </rPr>
          <t>Assumption that bldg standards potentially can influence 10% of total emissions</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tc={99281897-BADF-46F9-87AA-BE981EB69DB8}</author>
    <author>tc={B2307BED-4A14-44DB-8104-9EECEEE52009}</author>
    <author>tc={8E544CBC-F8AF-46C7-B454-239330B4B500}</author>
    <author>tc={62793D61-D309-4283-AAC5-30E88854E9FF}</author>
    <author>tc={F4FC1BB2-51AF-44A5-A5EF-AAEA87746D39}</author>
    <author>tc={B7E2B4D5-0722-44CE-826E-369619DFEF18}</author>
  </authors>
  <commentList>
    <comment ref="D2" authorId="0" shapeId="0" xr:uid="{99281897-BADF-46F9-87AA-BE981EB69DB8}">
      <text>
        <t>[Threaded comment]
Your version of Excel allows you to read this threaded comment; however, any edits to it will get removed if the file is opened in a newer version of Excel. Learn more: https://go.microsoft.com/fwlink/?linkid=870924
Comment:
    See source from Dominic here
https://rmi.org/clean-energy-101-geothermal-heat-pumps/#:~:text=Geothermal%20heat%20pumps%20use%20about%2080%20percent%20less%20energy%20annually%20than%20industry%2Dstandard%20fossil%20fuel%20furnaces%20to%20heat%20homes%20in%20the%20Midwest.
Reply:
    "based on analysis of residential heating technologies across the Midwest developed by 5 Lakes Energy over the course of a full year "</t>
      </text>
    </comment>
    <comment ref="D3" authorId="1" shapeId="0" xr:uid="{B2307BED-4A14-44DB-8104-9EECEEE52009}">
      <text>
        <t>[Threaded comment]
Your version of Excel allows you to read this threaded comment; however, any edits to it will get removed if the file is opened in a newer version of Excel. Learn more: https://go.microsoft.com/fwlink/?linkid=870924
Comment:
    See source from Dominic here
https://rmi.org/clean-energy-101-geothermal-heat-pumps/#:~:text=Geothermal%20heat%20pumps%20use%20about%2080%20percent%20less%20energy%20annually%20than%20industry%2Dstandard%20fossil%20fuel%20furnaces%20to%20heat%20homes%20in%20the%20Midwest.
Reply:
    "based on analysis of residential heating technologies across the Midwest developed by 5 Lakes Energy over the course of a full year "</t>
      </text>
    </comment>
    <comment ref="D7" authorId="2" shapeId="0" xr:uid="{8E544CBC-F8AF-46C7-B454-239330B4B500}">
      <text>
        <t>[Threaded comment]
Your version of Excel allows you to read this threaded comment; however, any edits to it will get removed if the file is opened in a newer version of Excel. Learn more: https://go.microsoft.com/fwlink/?linkid=870924
Comment:
    See source from Dominic here
https://rmi.org/clean-energy-101-geothermal-heat-pumps/#:~:text=Geothermal%20heat%20pumps%20use%20about%2080%20percent%20less%20energy%20annually%20than%20industry%2Dstandard%20fossil%20fuel%20furnaces%20to%20heat%20homes%20in%20the%20Midwest.
Reply:
    "based on analysis of residential heating technologies across the Midwest developed by 5 Lakes Energy over the course of a full year "</t>
      </text>
    </comment>
    <comment ref="D11" authorId="3" shapeId="0" xr:uid="{62793D61-D309-4283-AAC5-30E88854E9FF}">
      <text>
        <t>[Threaded comment]
Your version of Excel allows you to read this threaded comment; however, any edits to it will get removed if the file is opened in a newer version of Excel. Learn more: https://go.microsoft.com/fwlink/?linkid=870924
Comment:
    See source from Dominic here
https://rmi.org/clean-energy-101-geothermal-heat-pumps/#:~:text=Geothermal%20heat%20pumps%20use%20about%2080%20percent%20less%20energy%20annually%20than%20industry%2Dstandard%20fossil%20fuel%20furnaces%20to%20heat%20homes%20in%20the%20Midwest.
Reply:
    "based on analysis of residential heating technologies across the Midwest developed by 5 Lakes Energy over the course of a full year "</t>
      </text>
    </comment>
    <comment ref="D15" authorId="4" shapeId="0" xr:uid="{F4FC1BB2-51AF-44A5-A5EF-AAEA87746D39}">
      <text>
        <t>[Threaded comment]
Your version of Excel allows you to read this threaded comment; however, any edits to it will get removed if the file is opened in a newer version of Excel. Learn more: https://go.microsoft.com/fwlink/?linkid=870924
Comment:
    https://www.energy.gov/sites/default/files/2021-08/Land-Based%20Wind%20Market%20Report%202021%20Edition_Full%20Report_FINAL.pdf
Reply:
    Average capacity factor 40%</t>
      </text>
    </comment>
    <comment ref="B33" authorId="5" shapeId="0" xr:uid="{B7E2B4D5-0722-44CE-826E-369619DFEF18}">
      <text>
        <t>[Threaded comment]
Your version of Excel allows you to read this threaded comment; however, any edits to it will get removed if the file is opened in a newer version of Excel. Learn more: https://go.microsoft.com/fwlink/?linkid=870924
Comment:
    https://pvwatts.nrel.gov/pvwatts.php</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Shikha Srinivas</author>
    <author>tc={E248D9FC-3439-40F3-A4DC-87DF62541484}</author>
    <author>tc={BF2A4B0D-72AD-40A6-8BF0-BE89906BD6FE}</author>
    <author>tc={CA0DF38D-7D47-4A21-84AE-3C1D3AF41A86}</author>
    <author>tc={6A8498C2-D4BC-48D3-A514-76A141815D8B}</author>
    <author>tc={BF9E642D-A37B-45C0-A52E-4C78240D21EB}</author>
    <author>tc={ACD83CDC-3BD3-4024-9915-0CE87E0C75DD}</author>
    <author>tc={FF6A542C-19E5-41BF-8CE4-2B8A9FE18054}</author>
    <author>tc={BACF08E2-64F2-4237-8DFF-26C3793C4B35}</author>
    <author>tc={239C2AD1-4C9C-4C64-ABA2-A938BEA2C736}</author>
  </authors>
  <commentList>
    <comment ref="B5" authorId="0" shapeId="0" xr:uid="{A1367474-7814-4206-865A-C485D3CE8040}">
      <text>
        <r>
          <rPr>
            <b/>
            <sz val="9"/>
            <color indexed="81"/>
            <rFont val="Tahoma"/>
            <family val="2"/>
          </rPr>
          <t>Shikha Srinivas:</t>
        </r>
        <r>
          <rPr>
            <sz val="9"/>
            <color indexed="81"/>
            <rFont val="Tahoma"/>
            <family val="2"/>
          </rPr>
          <t xml:space="preserve">
Average of Climate Positive Tool factors - Large Decidious Tree &amp; Large Evergreen Tree</t>
        </r>
      </text>
    </comment>
    <comment ref="I8" authorId="0" shapeId="0" xr:uid="{C002405D-73F3-4620-AAD4-DE357E28A09A}">
      <text>
        <r>
          <rPr>
            <b/>
            <sz val="9"/>
            <color indexed="81"/>
            <rFont val="Tahoma"/>
            <family val="2"/>
          </rPr>
          <t>Shikha Srinivas:</t>
        </r>
        <r>
          <rPr>
            <sz val="9"/>
            <color indexed="81"/>
            <rFont val="Tahoma"/>
            <family val="2"/>
          </rPr>
          <t xml:space="preserve">
Grass + Shrubs</t>
        </r>
      </text>
    </comment>
    <comment ref="C13" authorId="1" shapeId="0" xr:uid="{E248D9FC-3439-40F3-A4DC-87DF62541484}">
      <text>
        <t>[Threaded comment]
Your version of Excel allows you to read this threaded comment; however, any edits to it will get removed if the file is opened in a newer version of Excel. Learn more: https://go.microsoft.com/fwlink/?linkid=870924
Comment:
    Climate Positive Design Tool</t>
      </text>
    </comment>
    <comment ref="C14" authorId="2" shapeId="0" xr:uid="{BF2A4B0D-72AD-40A6-8BF0-BE89906BD6FE}">
      <text>
        <t>[Threaded comment]
Your version of Excel allows you to read this threaded comment; however, any edits to it will get removed if the file is opened in a newer version of Excel. Learn more: https://go.microsoft.com/fwlink/?linkid=870924
Comment:
    Climate Positive Design Tool</t>
      </text>
    </comment>
    <comment ref="B23" authorId="0" shapeId="0" xr:uid="{D03E476F-19D3-4BEF-BB1D-A50060779B91}">
      <text>
        <r>
          <rPr>
            <b/>
            <sz val="9"/>
            <color indexed="81"/>
            <rFont val="Tahoma"/>
            <family val="2"/>
          </rPr>
          <t>Shikha Srinivas:</t>
        </r>
        <r>
          <rPr>
            <sz val="9"/>
            <color indexed="81"/>
            <rFont val="Tahoma"/>
            <family val="2"/>
          </rPr>
          <t xml:space="preserve">
kgCO2e/m2 
Unit is sq. meters for grass</t>
        </r>
      </text>
    </comment>
    <comment ref="J23" authorId="3" shapeId="0" xr:uid="{CA0DF38D-7D47-4A21-84AE-3C1D3AF41A86}">
      <text>
        <t>[Threaded comment]
Your version of Excel allows you to read this threaded comment; however, any edits to it will get removed if the file is opened in a newer version of Excel. Learn more: https://go.microsoft.com/fwlink/?linkid=870924
Comment:
    https://www.fs.usda.gov/ccrc/tool/cufr-tree-carbon-calculator-ctcc</t>
      </text>
    </comment>
    <comment ref="A57" authorId="4" shapeId="0" xr:uid="{6A8498C2-D4BC-48D3-A514-76A141815D8B}">
      <text>
        <t>[Threaded comment]
Your version of Excel allows you to read this threaded comment; however, any edits to it will get removed if the file is opened in a newer version of Excel. Learn more: https://go.microsoft.com/fwlink/?linkid=870924
Comment:
    https://www.fs.usda.gov/ccrc/tool/cufr-tree-carbon-calculator-ctcc</t>
      </text>
    </comment>
    <comment ref="B58" authorId="5" shapeId="0" xr:uid="{BF9E642D-A37B-45C0-A52E-4C78240D21EB}">
      <text>
        <t>[Threaded comment]
Your version of Excel allows you to read this threaded comment; however, any edits to it will get removed if the file is opened in a newer version of Excel. Learn more: https://go.microsoft.com/fwlink/?linkid=870924
Comment:
    Photo of 5yr old tree for reference
https://www.google.com/url?sa=i&amp;url=https%3A%2F%2Fruk.ca%2Fcontent%2Fsugar-maple-five-years-old&amp;psig=AOvVaw1SJrVj-tl8N32UoVilwXXf&amp;ust=1702599582325000&amp;source=images&amp;cd=vfe&amp;opi=89978449&amp;ved=0CBQQjhxqFwoTCNDX0uzTjYMDFQAAAAAdAAAAABAE</t>
      </text>
    </comment>
    <comment ref="B63" authorId="6" shapeId="0" xr:uid="{ACD83CDC-3BD3-4024-9915-0CE87E0C75DD}">
      <text>
        <t>[Threaded comment]
Your version of Excel allows you to read this threaded comment; however, any edits to it will get removed if the file is opened in a newer version of Excel. Learn more: https://go.microsoft.com/fwlink/?linkid=870924
Comment:
    Average of values of IPCC soil values in CARB methodology/report https://ww2.arb.ca.gov/sites/default/files/auction-proceeds/landrestore_QM_18-19_revised_final.pdf</t>
      </text>
    </comment>
    <comment ref="F63" authorId="7" shapeId="0" xr:uid="{FF6A542C-19E5-41BF-8CE4-2B8A9FE18054}">
      <text>
        <t>[Threaded comment]
Your version of Excel allows you to read this threaded comment; however, any edits to it will get removed if the file is opened in a newer version of Excel. Learn more: https://go.microsoft.com/fwlink/?linkid=870924
Comment:
    Assumed 10% of input land (confirm if this is a portion of input land)</t>
      </text>
    </comment>
    <comment ref="G63" authorId="8" shapeId="0" xr:uid="{BACF08E2-64F2-4237-8DFF-26C3793C4B35}">
      <text>
        <t>[Threaded comment]
Your version of Excel allows you to read this threaded comment; however, any edits to it will get removed if the file is opened in a newer version of Excel. Learn more: https://go.microsoft.com/fwlink/?linkid=870924
Comment:
    Assumed 10% of input land (confirm if this is a portion of input land)</t>
      </text>
    </comment>
    <comment ref="J63" authorId="9" shapeId="0" xr:uid="{239C2AD1-4C9C-4C64-ABA2-A938BEA2C736}">
      <text>
        <t>[Threaded comment]
Your version of Excel allows you to read this threaded comment; however, any edits to it will get removed if the file is opened in a newer version of Excel. Learn more: https://go.microsoft.com/fwlink/?linkid=870924
Comment:
    1 represents the crop tilling factor (assumption made by CARB) https://ww2.arb.ca.gov/sites/default/files/auction-proceeds/landrestore_QM_18-19_revised_final.pdf</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Shikha Srinivas</author>
  </authors>
  <commentList>
    <comment ref="M12" authorId="0" shapeId="0" xr:uid="{17FA37E8-DC30-4905-BE39-FAC7B86FA89A}">
      <text>
        <r>
          <rPr>
            <b/>
            <sz val="9"/>
            <color indexed="81"/>
            <rFont val="Tahoma"/>
            <family val="2"/>
          </rPr>
          <t>Shikha Srinivas:</t>
        </r>
        <r>
          <rPr>
            <sz val="9"/>
            <color indexed="81"/>
            <rFont val="Tahoma"/>
            <family val="2"/>
          </rPr>
          <t xml:space="preserve">
Specifically for Oneida Nation - to be incorporated for specific dataset. 
Oneida is 75% MROE &amp; 25% RFCW (confirm split by energy use, type of building, or population)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tc={A19723B7-2552-45C6-B443-7B2359C4B51B}</author>
    <author>tc={87D0E140-AB7B-4F22-9794-D83E12F4846A}</author>
    <author>Shikha Srinivas</author>
    <author>tc={A3121CAC-A29F-46B4-ACE5-F2A7B350B5D2}</author>
    <author>tc={FEAF9926-FC4D-4AD3-87EF-2EFC18E5F6D8}</author>
    <author>tc={6FB4A31A-91FA-4D51-A166-5A6FDE50B7CD}</author>
    <author>tc={611F9E6E-15A0-49F5-9144-573A3ED7A8A0}</author>
    <author>tc={FA5D9843-8C0F-4F1B-BC13-53E1A0184B4F}</author>
    <author>tc={DC773F47-FDA5-4B95-A5D5-61D03EA83128}</author>
    <author>tc={3C8A9981-4BCE-4290-B0C4-4108872B9A29}</author>
    <author>tc={E2CDCF81-CC4A-4623-8E19-E8CD47BBBCB0}</author>
    <author>tc={9807ABD7-5451-4CC7-9546-4F4A97708A64}</author>
    <author>tc={8446285B-8EE9-4EF0-98C2-87056EE434ED}</author>
    <author>tc={CEAD7CB0-7236-4D50-8F26-EFF9D0016741}</author>
    <author>tc={787CA48E-B6A9-461F-9F32-9E8BB59CC0D1}</author>
    <author>tc={1DB582AF-3279-4720-BFE6-E315C32CC7C5}</author>
    <author>tc={333831DE-CA61-4B00-8FC5-25274B355803}</author>
    <author>tc={C229D90F-5274-4ADB-B4DB-58DF21432149}</author>
  </authors>
  <commentList>
    <comment ref="B2" authorId="0" shapeId="0" xr:uid="{A19723B7-2552-45C6-B443-7B2359C4B51B}">
      <text>
        <t>[Threaded comment]
Your version of Excel allows you to read this threaded comment; however, any edits to it will get removed if the file is opened in a newer version of Excel. Learn more: https://go.microsoft.com/fwlink/?linkid=870924
Comment:
    Preserving Anuradha's comment:
According to a California based paper in 2013, at least 60% of homes need solar to significantly reduce carbon emissions by 2020 (significance measured using ANOVA statistical analysis, approx 10% reduction in emissions). 100% homes would lead to approximately 15% (https://nature.berkeley.edu/classes/es196/projects/2013final/ArifM_2013.pdf)</t>
      </text>
    </comment>
    <comment ref="C11" authorId="1" shapeId="0" xr:uid="{87D0E140-AB7B-4F22-9794-D83E12F4846A}">
      <text>
        <t>[Threaded comment]
Your version of Excel allows you to read this threaded comment; however, any edits to it will get removed if the file is opened in a newer version of Excel. Learn more: https://go.microsoft.com/fwlink/?linkid=870924
Comment:
    https://www.c2es.org/document/decarbonizing-u-s-buildings/</t>
      </text>
    </comment>
    <comment ref="G13" authorId="2" shapeId="0" xr:uid="{A5B02A25-0E17-44BD-988F-9670950F31C0}">
      <text>
        <r>
          <rPr>
            <b/>
            <sz val="9"/>
            <color indexed="81"/>
            <rFont val="Tahoma"/>
            <family val="2"/>
          </rPr>
          <t>Shikha Srinivas:</t>
        </r>
        <r>
          <rPr>
            <sz val="9"/>
            <color indexed="81"/>
            <rFont val="Tahoma"/>
            <family val="2"/>
          </rPr>
          <t xml:space="preserve">
Average value from source range of 2-4% link in the right)
For residential dwellings, typical builder-supplied appliances include 
refrigerators and dishwashers. Clothes washers and ceiling fans would be applicable if the builder supplied them.</t>
        </r>
      </text>
    </comment>
    <comment ref="S13" authorId="3" shapeId="0" xr:uid="{A3121CAC-A29F-46B4-ACE5-F2A7B350B5D2}">
      <text>
        <t>[Threaded comment]
Your version of Excel allows you to read this threaded comment; however, any edits to it will get removed if the file is opened in a newer version of Excel. Learn more: https://go.microsoft.com/fwlink/?linkid=870924
Comment:
    https://www.iea.org/reports/achievements-of-energy-efficiency-appliance-and-equipment-standards-and-labelling-programmes/executive-summary
Reply:
    This is an annual energy improvement rate, not total % of energy savings.  Also appears to be a global average, so will need to find a better data source</t>
      </text>
    </comment>
    <comment ref="C14" authorId="4" shapeId="0" xr:uid="{FEAF9926-FC4D-4AD3-87EF-2EFC18E5F6D8}">
      <text>
        <t>[Threaded comment]
Your version of Excel allows you to read this threaded comment; however, any edits to it will get removed if the file is opened in a newer version of Excel. Learn more: https://go.microsoft.com/fwlink/?linkid=870924
Comment:
    Need water use data, there are calculators online for residential and commercial water use based on occupants and flow of fixtures and stuff! Green globes I think? I can dig into my classwork to find tools!
Reply:
    If we do move forward as a less priority option, can use https://www.epa.gov/watersense/watersense-calculator
Reply:
    Yes I added EPA WaterSense as a tool to the other file with the GHG reduction  measures!</t>
      </text>
    </comment>
    <comment ref="C20" authorId="5" shapeId="0" xr:uid="{6FB4A31A-91FA-4D51-A166-5A6FDE50B7CD}">
      <text>
        <t>[Threaded comment]
Your version of Excel allows you to read this threaded comment; however, any edits to it will get removed if the file is opened in a newer version of Excel. Learn more: https://go.microsoft.com/fwlink/?linkid=870924
Comment:
    Anticipating that this may be hard to quantify at this first stage of our analysis</t>
      </text>
    </comment>
    <comment ref="C21" authorId="6" shapeId="0" xr:uid="{611F9E6E-15A0-49F5-9144-573A3ED7A8A0}">
      <text>
        <t>[Threaded comment]
Your version of Excel allows you to read this threaded comment; however, any edits to it will get removed if the file is opened in a newer version of Excel. Learn more: https://go.microsoft.com/fwlink/?linkid=870924
Comment:
    Suggest we remove, as this measure in of itself doesn't lead to GHG reduction. However, it is a key first step when prioritizing energy-efficiency measures, so we should include it within our overall report narrative</t>
      </text>
    </comment>
    <comment ref="A25" authorId="7" shapeId="0" xr:uid="{FA5D9843-8C0F-4F1B-BC13-53E1A0184B4F}">
      <text>
        <t>[Threaded comment]
Your version of Excel allows you to read this threaded comment; however, any edits to it will get removed if the file is opened in a newer version of Excel. Learn more: https://go.microsoft.com/fwlink/?linkid=870924
Comment:
    How do we address ATV emissions?</t>
      </text>
    </comment>
    <comment ref="C26" authorId="8" shapeId="0" xr:uid="{DC773F47-FDA5-4B95-A5D5-61D03EA83128}">
      <text>
        <t>[Threaded comment]
Your version of Excel allows you to read this threaded comment; however, any edits to it will get removed if the file is opened in a newer version of Excel. Learn more: https://go.microsoft.com/fwlink/?linkid=870924
Comment:
    Consider breaking out fleet specific transportation data where available?</t>
      </text>
    </comment>
    <comment ref="G29" authorId="2" shapeId="0" xr:uid="{315A1B44-7C20-4139-8D5D-D09C1DD0BCD6}">
      <text>
        <r>
          <rPr>
            <b/>
            <sz val="9"/>
            <color indexed="81"/>
            <rFont val="Tahoma"/>
            <family val="2"/>
          </rPr>
          <t>Shikha Srinivas:</t>
        </r>
        <r>
          <rPr>
            <sz val="9"/>
            <color indexed="81"/>
            <rFont val="Tahoma"/>
            <family val="2"/>
          </rPr>
          <t xml:space="preserve">
As per source, 84% represents full conversion to active user of transport</t>
        </r>
      </text>
    </comment>
    <comment ref="H29" authorId="9" shapeId="0" xr:uid="{3C8A9981-4BCE-4290-B0C4-4108872B9A29}">
      <text>
        <t>[Threaded comment]
Your version of Excel allows you to read this threaded comment; however, any edits to it will get removed if the file is opened in a newer version of Excel. Learn more: https://go.microsoft.com/fwlink/?linkid=870924
Comment:
    Full paper: https://www.sciencedirect.com/science/article/abs/pii/S0959378021000030?via%3Dihub</t>
      </text>
    </comment>
    <comment ref="C33" authorId="10" shapeId="0" xr:uid="{E2CDCF81-CC4A-4623-8E19-E8CD47BBBCB0}">
      <text>
        <t>[Threaded comment]
Your version of Excel allows you to read this threaded comment; however, any edits to it will get removed if the file is opened in a newer version of Excel. Learn more: https://go.microsoft.com/fwlink/?linkid=870924
Comment:
    does "community" wind or solar imply energy for just residential, just commercial, or both?
Reply:
    Both!</t>
      </text>
    </comment>
    <comment ref="G33" authorId="11" shapeId="0" xr:uid="{9807ABD7-5451-4CC7-9546-4F4A97708A64}">
      <text>
        <t>[Threaded comment]
Your version of Excel allows you to read this threaded comment; however, any edits to it will get removed if the file is opened in a newer version of Excel. Learn more: https://go.microsoft.com/fwlink/?linkid=870924
Comment:
    % scope 2 reduction per avg commercial turbine</t>
      </text>
    </comment>
    <comment ref="I33" authorId="12" shapeId="0" xr:uid="{8446285B-8EE9-4EF0-98C2-87056EE434ED}">
      <text>
        <t>[Threaded comment]
Your version of Excel allows you to read this threaded comment; however, any edits to it will get removed if the file is opened in a newer version of Excel. Learn more: https://go.microsoft.com/fwlink/?linkid=870924
Comment:
    # of turbines</t>
      </text>
    </comment>
    <comment ref="G34" authorId="13" shapeId="0" xr:uid="{CEAD7CB0-7236-4D50-8F26-EFF9D0016741}">
      <text>
        <t>[Threaded comment]
Your version of Excel allows you to read this threaded comment; however, any edits to it will get removed if the file is opened in a newer version of Excel. Learn more: https://go.microsoft.com/fwlink/?linkid=870924
Comment:
    % scope 2 reduction per 1MW solar system</t>
      </text>
    </comment>
    <comment ref="I34" authorId="14" shapeId="0" xr:uid="{787CA48E-B6A9-461F-9F32-9E8BB59CC0D1}">
      <text>
        <t>[Threaded comment]
Your version of Excel allows you to read this threaded comment; however, any edits to it will get removed if the file is opened in a newer version of Excel. Learn more: https://go.microsoft.com/fwlink/?linkid=870924
Comment:
    # of 1MW solar systems installed</t>
      </text>
    </comment>
    <comment ref="C36" authorId="15" shapeId="0" xr:uid="{1DB582AF-3279-4720-BFE6-E315C32CC7C5}">
      <text>
        <t>[Threaded comment]
Your version of Excel allows you to read this threaded comment; however, any edits to it will get removed if the file is opened in a newer version of Excel. Learn more: https://go.microsoft.com/fwlink/?linkid=870924
Comment:
    Would these emissions be captured under commercial building emissions? Can we get usage data on streetlights from Tribal leaders? Calculating might be easy (no. of streetlights, no-daylight hours in a year) 
Reply:
    According to Linda, we can assume 3% of commercial building Scope 2 emissions is for streeetlighting</t>
      </text>
    </comment>
    <comment ref="C38" authorId="16" shapeId="0" xr:uid="{333831DE-CA61-4B00-8FC5-25274B355803}">
      <text>
        <t>[Threaded comment]
Your version of Excel allows you to read this threaded comment; however, any edits to it will get removed if the file is opened in a newer version of Excel. Learn more: https://go.microsoft.com/fwlink/?linkid=870924
Comment:
    I've researched carbon sequestration from trees before!! It depends on tree type, so ask me for the tree database and calculations I used when ready ☺️</t>
      </text>
    </comment>
    <comment ref="C39" authorId="17" shapeId="0" xr:uid="{C229D90F-5274-4ADB-B4DB-58DF21432149}">
      <text>
        <t>[Threaded comment]
Your version of Excel allows you to read this threaded comment; however, any edits to it will get removed if the file is opened in a newer version of Excel. Learn more: https://go.microsoft.com/fwlink/?linkid=870924
Comment:
    Harder to measure… I am familiar with UMI which models GHG emissions savings from rooftop / urban farming, but not sure  if that's what this means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Dominic Molinari</author>
    <author>tc={ED4D7E48-6E02-4F74-8044-6F4F5AAF5C7F}</author>
  </authors>
  <commentList>
    <comment ref="L10" authorId="0" shapeId="0" xr:uid="{7B85E6C7-BB17-49B4-A8CF-27D8C120A938}">
      <text>
        <r>
          <rPr>
            <b/>
            <sz val="9"/>
            <color indexed="81"/>
            <rFont val="Tahoma"/>
            <family val="2"/>
          </rPr>
          <t>Dominic Molinari:</t>
        </r>
        <r>
          <rPr>
            <sz val="9"/>
            <color indexed="81"/>
            <rFont val="Tahoma"/>
            <family val="2"/>
          </rPr>
          <t xml:space="preserve">
Instead of separating out emissions between sf and mf, adding together and deviding by sum of sf bldgs and mf units
</t>
        </r>
      </text>
    </comment>
    <comment ref="T10" authorId="1" shapeId="0" xr:uid="{ED4D7E48-6E02-4F74-8044-6F4F5AAF5C7F}">
      <text>
        <t>[Threaded comment]
Your version of Excel allows you to read this threaded comment; however, any edits to it will get removed if the file is opened in a newer version of Excel. Learn more: https://go.microsoft.com/fwlink/?linkid=870924
Comment:
    See spreadsheet here: Utility Emissions Rates.xlsx data from 2022 and 2023</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tc={6C28E5E2-E685-4426-8817-9426B0FB81FD}</author>
    <author>tc={441469D1-F1E4-48C6-B52C-F0E4A60A9078}</author>
  </authors>
  <commentList>
    <comment ref="X31" authorId="0" shapeId="0" xr:uid="{6C28E5E2-E685-4426-8817-9426B0FB81FD}">
      <text>
        <t>[Threaded comment]
Your version of Excel allows you to read this threaded comment; however, any edits to it will get removed if the file is opened in a newer version of Excel. Learn more: https://go.microsoft.com/fwlink/?linkid=870924
Comment:
    489 gallons/year per registered vehicle 
https://www.api.org/news-policy-and-issues/blog/2022/05/26/top-numbers-driving-americas-gasoline-demand#:~:text=489%20gallons%2Fyear%20per%20registered,day%20of%20gasoline%20was%20sold.</t>
      </text>
    </comment>
    <comment ref="X32" authorId="1" shapeId="0" xr:uid="{441469D1-F1E4-48C6-B52C-F0E4A60A9078}">
      <text>
        <t>[Threaded comment]
Your version of Excel allows you to read this threaded comment; however, any edits to it will get removed if the file is opened in a newer version of Excel. Learn more: https://go.microsoft.com/fwlink/?linkid=870924
Comment:
    ~1993 gallons annually
https://www.atob.com/blog/9-tips-on-how-to-improve-school-bus-mpg#:~:text=According%20to%20the%20U.S.%20Department,1%2C993%20gallons%20of%20fuel%20annually.</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tc={FE6A7941-4A2B-4DFB-BCFD-FE0AF62C072A}</author>
    <author>tc={6D1D5BAD-6D12-4445-8225-3A5F7389E904}</author>
    <author>tc={7FFC94BA-B296-4494-AD8E-D5A6046CA965}</author>
    <author>tc={9B8C7677-6307-426D-AAFD-50017FE1BF69}</author>
    <author>tc={C0A70571-1B39-4582-A6A9-D04D6F152997}</author>
    <author>tc={EBAD2CAB-A9EB-4C49-A0C3-91BB430683D6}</author>
    <author>tc={71EDE766-0F70-45D2-B0D1-F350BF3AAD4E}</author>
    <author>tc={8098A328-80E8-42B9-B9C3-05509B6920E4}</author>
    <author>tc={938DF882-F075-4018-932E-EED014301CBD}</author>
    <author>tc={AC703241-94E7-4E35-9190-B1C3B9CC2CA0}</author>
    <author>tc={E7AAE5F1-3284-4E83-9F43-519984AFEA3E}</author>
    <author>tc={D50A1AE7-2F86-4685-8381-1583CAB14028}</author>
    <author>tc={380F1119-5181-430C-A993-6AF9707B4C92}</author>
    <author>tc={F26B0A21-D79C-49AC-8B9C-700CA0B6310D}</author>
    <author>tc={D8C3D9F3-4368-433A-B9A2-E9CC289986C6}</author>
    <author>tc={65ED593D-4A5F-49C3-A7A5-BCB536669E54}</author>
    <author>tc={94399FAD-BCBD-4446-B058-D8BC4EF1AC5E}</author>
  </authors>
  <commentList>
    <comment ref="N6" authorId="0" shapeId="0" xr:uid="{FE6A7941-4A2B-4DFB-BCFD-FE0AF62C072A}">
      <text>
        <t>[Threaded comment]
Your version of Excel allows you to read this threaded comment; however, any edits to it will get removed if the file is opened in a newer version of Excel. Learn more: https://go.microsoft.com/fwlink/?linkid=870924
Comment:
    Arup estimate - Cory A</t>
      </text>
    </comment>
    <comment ref="H31" authorId="1" shapeId="0" xr:uid="{6D1D5BAD-6D12-4445-8225-3A5F7389E90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Can also keep consistent source for this using Building-Electrification-Study-Group14-2020-11.09.pdf (buildingdecarb.org) 
Only represents one 
Reply:
    ~$16,000 / large air source heat pump, all in replacement cost is $20,400
Reply:
    @Shikha Srinivas  to update with Building Decarb</t>
      </text>
    </comment>
    <comment ref="H32" authorId="2" shapeId="0" xr:uid="{7FFC94BA-B296-4494-AD8E-D5A6046CA965}">
      <text>
        <t xml:space="preserve">[Threaded comment]
Your version of Excel allows you to read this threaded comment; however, any edits to it will get removed if the file is opened in a newer version of Excel. Learn more: https://go.microsoft.com/fwlink/?linkid=870924
Comment:
    Alternate source: can use EPA Rule of Thumb (used for commercial)
Reply:
    Same source, alternate calculation. Can also use the cost per fixture of $6.875/fixture * 17 blubs (average number of bulbs replaced). This cost is installed cost. </t>
      </text>
    </comment>
    <comment ref="H34" authorId="3" shapeId="0" xr:uid="{9B8C7677-6307-426D-AAFD-50017FE1BF69}">
      <text>
        <t xml:space="preserve">[Threaded comment]
Your version of Excel allows you to read this threaded comment; however, any edits to it will get removed if the file is opened in a newer version of Excel. Learn more: https://go.microsoft.com/fwlink/?linkid=870924
Comment:
    Stated in assumptions, but this only includes low flow fixtures and not any other water-related retrofits. 
Reply:
    Should we include more? Ex. Line item for "Install free aerators, showerheads, toilet inserts" </t>
      </text>
    </comment>
    <comment ref="W34" authorId="4" shapeId="0" xr:uid="{C0A70571-1B39-4582-A6A9-D04D6F152997}">
      <text>
        <t>[Threaded comment]
Your version of Excel allows you to read this threaded comment; however, any edits to it will get removed if the file is opened in a newer version of Excel. Learn more: https://go.microsoft.com/fwlink/?linkid=870924
Comment:
    Showerhead: https://www.homedepot.com/b/Bath-Bathroom-Faucets-Shower-Heads/Low-Flow/N-5yc1vZcjocZ1z0qpz0
Reply:
    Bath sink: https://www.homedepot.com/b/Bath-Bathroom-Faucets-Bathroom-Sink-Faucets/Low-Flow/N-5yc1vZc8d3Z1z0qpz0</t>
      </text>
    </comment>
    <comment ref="N35" authorId="5" shapeId="0" xr:uid="{EBAD2CAB-A9EB-4C49-A0C3-91BB430683D6}">
      <text>
        <t>[Threaded comment]
Your version of Excel allows you to read this threaded comment; however, any edits to it will get removed if the file is opened in a newer version of Excel. Learn more: https://go.microsoft.com/fwlink/?linkid=870924
Comment:
    Same for the lighting and weatherization
Reply:
    @Shikha Srinivas compare to Inventory</t>
      </text>
    </comment>
    <comment ref="H36" authorId="6" shapeId="0" xr:uid="{71EDE766-0F70-45D2-B0D1-F350BF3AAD4E}">
      <text>
        <t>[Threaded comment]
Your version of Excel allows you to read this threaded comment; however, any edits to it will get removed if the file is opened in a newer version of Excel. Learn more: https://go.microsoft.com/fwlink/?linkid=870924
Comment:
    Does not separate interior and exterior</t>
      </text>
    </comment>
    <comment ref="M40" authorId="7" shapeId="0" xr:uid="{8098A328-80E8-42B9-B9C3-05509B6920E4}">
      <text>
        <t>[Threaded comment]
Your version of Excel allows you to read this threaded comment; however, any edits to it will get removed if the file is opened in a newer version of Excel. Learn more: https://go.microsoft.com/fwlink/?linkid=870924
Comment:
    Source used for electric bus charger cost</t>
      </text>
    </comment>
    <comment ref="P40" authorId="8" shapeId="0" xr:uid="{938DF882-F075-4018-932E-EED014301CBD}">
      <text>
        <t>[Threaded comment]
Your version of Excel allows you to read this threaded comment; however, any edits to it will get removed if the file is opened in a newer version of Excel. Learn more: https://go.microsoft.com/fwlink/?linkid=870924
Comment:
    One charger serves 6-8 buses per hour. Assume 1 charger/7 buses</t>
      </text>
    </comment>
    <comment ref="Q40" authorId="9" shapeId="0" xr:uid="{AC703241-94E7-4E35-9190-B1C3B9CC2CA0}">
      <text>
        <t>[Threaded comment]
Your version of Excel allows you to read this threaded comment; however, any edits to it will get removed if the file is opened in a newer version of Excel. Learn more: https://go.microsoft.com/fwlink/?linkid=870924
Comment:
    One charger serves 6-8 buses per hour. Assume 1 charger/7 buses</t>
      </text>
    </comment>
    <comment ref="G41" authorId="10" shapeId="0" xr:uid="{E7AAE5F1-3284-4E83-9F43-519984AFEA3E}">
      <text>
        <t>[Threaded comment]
Your version of Excel allows you to read this threaded comment; however, any edits to it will get removed if the file is opened in a newer version of Excel. Learn more: https://go.microsoft.com/fwlink/?linkid=870924
Comment:
    80% of total population across tribes/10 Evs per charger</t>
      </text>
    </comment>
    <comment ref="J41" authorId="11" shapeId="0" xr:uid="{D50A1AE7-2F86-4685-8381-1583CAB14028}">
      <text>
        <t>[Threaded comment]
Your version of Excel allows you to read this threaded comment; however, any edits to it will get removed if the file is opened in a newer version of Excel. Learn more: https://go.microsoft.com/fwlink/?linkid=870924
Comment:
    This matches percentage of SOVs to replace with Evs with population - may overestimate number of vehicles.</t>
      </text>
    </comment>
    <comment ref="C42" authorId="12" shapeId="0" xr:uid="{380F1119-5181-430C-A993-6AF9707B4C92}">
      <text>
        <t>[Threaded comment]
Your version of Excel allows you to read this threaded comment; however, any edits to it will get removed if the file is opened in a newer version of Excel. Learn more: https://go.microsoft.com/fwlink/?linkid=870924
Comment:
    Wide range for propane/CNG/LNG vs hydrogen</t>
      </text>
    </comment>
    <comment ref="C43" authorId="13" shapeId="0" xr:uid="{F26B0A21-D79C-49AC-8B9C-700CA0B6310D}">
      <text>
        <t>[Threaded comment]
Your version of Excel allows you to read this threaded comment; however, any edits to it will get removed if the file is opened in a newer version of Excel. Learn more: https://go.microsoft.com/fwlink/?linkid=870924
Comment:
    DOT says cost of bike lane is between 5k-50k per mile</t>
      </text>
    </comment>
    <comment ref="H46" authorId="14" shapeId="0" xr:uid="{D8C3D9F3-4368-433A-B9A2-E9CC289986C6}">
      <text>
        <t>[Threaded comment]
Your version of Excel allows you to read this threaded comment; however, any edits to it will get removed if the file is opened in a newer version of Excel. Learn more: https://go.microsoft.com/fwlink/?linkid=870924
Comment:
    Currently for a Medium 5-9 foot tree, should we find cost of seedlings? The GHG reduction measure calc is for a large deciduous/evergreen tree…. (also large trees are ~$2000)</t>
      </text>
    </comment>
    <comment ref="H49" authorId="15" shapeId="0" xr:uid="{65ED593D-4A5F-49C3-A7A5-BCB536669E54}">
      <text>
        <t>[Threaded comment]
Your version of Excel allows you to read this threaded comment; however, any edits to it will get removed if the file is opened in a newer version of Excel. Learn more: https://go.microsoft.com/fwlink/?linkid=870924
Comment:
    May need more info on zoning policy development process for Tribes</t>
      </text>
    </comment>
    <comment ref="B50" authorId="16" shapeId="0" xr:uid="{94399FAD-BCBD-4446-B058-D8BC4EF1AC5E}">
      <text>
        <t>[Threaded comment]
Your version of Excel allows you to read this threaded comment; however, any edits to it will get removed if the file is opened in a newer version of Excel. Learn more: https://go.microsoft.com/fwlink/?linkid=870924
Comment:
    Not included in PCAP</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tc={6A57D222-298D-43B9-A59B-2489BC925154}</author>
    <author>tc={2BD89900-C9A0-4330-AA16-697149C6D70C}</author>
    <author>tc={615358A5-DBB3-44D4-94A1-C9E749D0B1F1}</author>
    <author>tc={F8826A48-836F-4CEF-AFC8-EFF29AE0574E}</author>
    <author>tc={4DD62A76-CA45-4EFB-A3C3-C07C71200064}</author>
    <author>tc={58619A18-47B0-43EB-B88E-395E5159D27B}</author>
    <author>tc={5BFBE232-60D9-4A37-9291-9C95334616C1}</author>
    <author>tc={032FD45D-0AA0-4AE5-A9BD-4F2AF8CE2F66}</author>
    <author>tc={D16F076F-6217-4830-A1EE-D6FECDF5A618}</author>
    <author>tc={0224DCDA-B6D9-47AC-89EB-2FCFD04D2A62}</author>
    <author>tc={44CB2EDE-7B2A-4F06-BC82-58D441427694}</author>
    <author>tc={E2D5343E-7E3F-4CB6-98D6-13C33D22C8E4}</author>
    <author>tc={6F5D19F0-D377-4E2A-9D4A-78FEA1560F60}</author>
    <author>tc={47EB827A-8017-48BB-B2AD-DC066D8B762B}</author>
    <author>tc={51EC2AE8-F7A6-4A87-980F-FA28965BE80E}</author>
    <author>tc={F4E7A5A5-77C3-4511-A6BB-620F4B80AC1E}</author>
    <author>tc={487A3234-17A6-41E6-B5AD-5CCD6D58A8A6}</author>
    <author>tc={0A1E473B-E660-48EF-B3E6-E71E28BD3B72}</author>
    <author>tc={7D8C6FFB-3FB7-4114-A9C7-380C7093C173}</author>
    <author>tc={88944697-453C-4031-A0F7-54EE7D36FAA3}</author>
    <author>tc={C630825F-348F-4087-A597-5ADB612AD6D9}</author>
    <author>tc={8954BB4D-410F-4185-89E8-BE57A88677D3}</author>
    <author>tc={0CD198AF-BFB8-4DB4-A33F-437F56D2F096}</author>
  </authors>
  <commentList>
    <comment ref="Q5" authorId="0" shapeId="0" xr:uid="{6A57D222-298D-43B9-A59B-2489BC925154}">
      <text>
        <t>[Threaded comment]
Your version of Excel allows you to read this threaded comment; however, any edits to it will get removed if the file is opened in a newer version of Excel. Learn more: https://go.microsoft.com/fwlink/?linkid=870924
Comment:
    Calculated by converting a  $25,000 system with 60 MBH cooling into a cost per ton to scale up for other systems
1 ton = 12 MBH
MBH To Tons Calculator: Convert mBTU To Tons (+ Chart) (learnmetrics.com) 
Reply:
    Single family home has 60MBH heating, 5 ton unit</t>
      </text>
    </comment>
    <comment ref="T7" authorId="1" shapeId="0" xr:uid="{2BD89900-C9A0-4330-AA16-697149C6D70C}">
      <text>
        <t>[Threaded comment]
Your version of Excel allows you to read this threaded comment; however, any edits to it will get removed if the file is opened in a newer version of Excel. Learn more: https://go.microsoft.com/fwlink/?linkid=870924
Comment:
    Arup estimate - Cory A</t>
      </text>
    </comment>
    <comment ref="O29" authorId="2" shapeId="0" xr:uid="{615358A5-DBB3-44D4-94A1-C9E749D0B1F1}">
      <text>
        <t>[Threaded comment]
Your version of Excel allows you to read this threaded comment; however, any edits to it will get removed if the file is opened in a newer version of Excel. Learn more: https://go.microsoft.com/fwlink/?linkid=870924
Comment:
    Weatherization Assistance Program: Getting the Facts Straight (nrdc.org) 
This source explains/references the cost found in the DOE document as "cost of weatherization."</t>
      </text>
    </comment>
    <comment ref="P30" authorId="3" shapeId="0" xr:uid="{F8826A48-836F-4CEF-AFC8-EFF29AE0574E}">
      <text>
        <t>[Threaded comment]
Your version of Excel allows you to read this threaded comment; however, any edits to it will get removed if the file is opened in a newer version of Excel. Learn more: https://go.microsoft.com/fwlink/?linkid=870924
Comment:
    Assumes that 1 multifamily unit = approx 1 single family home for costing out residential retrofit features</t>
      </text>
    </comment>
    <comment ref="H31" authorId="4" shapeId="0" xr:uid="{4DD62A76-CA45-4EFB-A3C3-C07C71200064}">
      <text>
        <t xml:space="preserve">[Threaded comment]
Your version of Excel allows you to read this threaded comment; however, any edits to it will get removed if the file is opened in a newer version of Excel. Learn more: https://go.microsoft.com/fwlink/?linkid=870924
Comment:
    Alternate source: can use EPA Rule of Thumb (used for commercial)
Reply:
    Same source, alternate calculation. Can also use the cost per fixture of $6.875/fixture * 17 blubs (average number of bulbs replaced). This cost is installed cost. </t>
      </text>
    </comment>
    <comment ref="H33" authorId="5" shapeId="0" xr:uid="{58619A18-47B0-43EB-B88E-395E5159D27B}">
      <text>
        <t xml:space="preserve">[Threaded comment]
Your version of Excel allows you to read this threaded comment; however, any edits to it will get removed if the file is opened in a newer version of Excel. Learn more: https://go.microsoft.com/fwlink/?linkid=870924
Comment:
    Stated in assumptions, but this only includes low flow fixtures and not any other water-related retrofits. 
Reply:
    Should we include more? Ex. Line item for "Install free aerators, showerheads, toilet inserts" </t>
      </text>
    </comment>
    <comment ref="P33" authorId="6" shapeId="0" xr:uid="{5BFBE232-60D9-4A37-9291-9C95334616C1}">
      <text>
        <t>[Threaded comment]
Your version of Excel allows you to read this threaded comment; however, any edits to it will get removed if the file is opened in a newer version of Excel. Learn more: https://go.microsoft.com/fwlink/?linkid=870924
Comment:
    Assuming a single family home 3 bed 2 bath
For faucets and showerheads, assuming 4 faucets (2 bathroom, 2 kitchen/miscellaneous) and 2 showerheads (2 bathrooms)</t>
      </text>
    </comment>
    <comment ref="R33" authorId="7" shapeId="0" xr:uid="{032FD45D-0AA0-4AE5-A9BD-4F2AF8CE2F66}">
      <text>
        <t xml:space="preserve">[Threaded comment]
Your version of Excel allows you to read this threaded comment; however, any edits to it will get removed if the file is opened in a newer version of Excel. Learn more: https://go.microsoft.com/fwlink/?linkid=870924
Comment:
    Assuming a single family home 3 bed 2 bath
For faucets and showerheads, assuming 4 faucets (2 bathroom, 2 kitchen/miscellaneous) and 2 showerheads (2 bathrooms)
</t>
      </text>
    </comment>
    <comment ref="Y33" authorId="8" shapeId="0" xr:uid="{D16F076F-6217-4830-A1EE-D6FECDF5A618}">
      <text>
        <t>[Threaded comment]
Your version of Excel allows you to read this threaded comment; however, any edits to it will get removed if the file is opened in a newer version of Excel. Learn more: https://go.microsoft.com/fwlink/?linkid=870924
Comment:
    Showerhead: https://www.homedepot.com/b/Bath-Bathroom-Faucets-Shower-Heads/Low-Flow/N-5yc1vZcjocZ1z0qpz0
Reply:
    Bath sink: https://www.homedepot.com/b/Bath-Bathroom-Faucets-Bathroom-Sink-Faucets/Low-Flow/N-5yc1vZc8d3Z1z0qpz0</t>
      </text>
    </comment>
    <comment ref="P34" authorId="9" shapeId="0" xr:uid="{0224DCDA-B6D9-47AC-89EB-2FCFD04D2A62}">
      <text>
        <t>[Threaded comment]
Your version of Excel allows you to read this threaded comment; however, any edits to it will get removed if the file is opened in a newer version of Excel. Learn more: https://go.microsoft.com/fwlink/?linkid=870924
Comment:
    Same for the lighting and weatherization
Reply:
    @Shikha Srinivas compare to Inventory</t>
      </text>
    </comment>
    <comment ref="H35" authorId="10" shapeId="0" xr:uid="{44CB2EDE-7B2A-4F06-BC82-58D441427694}">
      <text>
        <t>[Threaded comment]
Your version of Excel allows you to read this threaded comment; however, any edits to it will get removed if the file is opened in a newer version of Excel. Learn more: https://go.microsoft.com/fwlink/?linkid=870924
Comment:
    Does not separate interior and exterior</t>
      </text>
    </comment>
    <comment ref="P37" authorId="11" shapeId="0" xr:uid="{E2D5343E-7E3F-4CB6-98D6-13C33D22C8E4}">
      <text>
        <t>[Threaded comment]
Your version of Excel allows you to read this threaded comment; however, any edits to it will get removed if the file is opened in a newer version of Excel. Learn more: https://go.microsoft.com/fwlink/?linkid=870924
Comment:
    Cost per SF for commercial building electrified heating</t>
      </text>
    </comment>
    <comment ref="H38" authorId="12" shapeId="0" xr:uid="{6F5D19F0-D377-4E2A-9D4A-78FEA1560F6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Can also keep consistent source for this using Building-Electrification-Study-Group14-2020-11.09.pdf (buildingdecarb.org) 
Only represents one 
Reply:
    ~$16,000 / large air source heat pump, all in replacement cost is $20,400
Reply:
    @Shikha Srinivas  to update with Building Decarb</t>
      </text>
    </comment>
    <comment ref="M40" authorId="13" shapeId="0" xr:uid="{47EB827A-8017-48BB-B2AD-DC066D8B762B}">
      <text>
        <t>[Threaded comment]
Your version of Excel allows you to read this threaded comment; however, any edits to it will get removed if the file is opened in a newer version of Excel. Learn more: https://go.microsoft.com/fwlink/?linkid=870924
Comment:
    Source used for electric bus charger cost</t>
      </text>
    </comment>
    <comment ref="O40" authorId="14" shapeId="0" xr:uid="{51EC2AE8-F7A6-4A87-980F-FA28965BE80E}">
      <text>
        <t>[Threaded comment]
Your version of Excel allows you to read this threaded comment; however, any edits to it will get removed if the file is opened in a newer version of Excel. Learn more: https://go.microsoft.com/fwlink/?linkid=870924
Comment:
    Source used for hydrogen fuel cell &amp; electric bus cost</t>
      </text>
    </comment>
    <comment ref="R40" authorId="15" shapeId="0" xr:uid="{F4E7A5A5-77C3-4511-A6BB-620F4B80AC1E}">
      <text>
        <t>[Threaded comment]
Your version of Excel allows you to read this threaded comment; however, any edits to it will get removed if the file is opened in a newer version of Excel. Learn more: https://go.microsoft.com/fwlink/?linkid=870924
Comment:
    One charger serves 6-8 buses per hour. Assume 1 charger/7 buses</t>
      </text>
    </comment>
    <comment ref="S40" authorId="16" shapeId="0" xr:uid="{487A3234-17A6-41E6-B5AD-5CCD6D58A8A6}">
      <text>
        <t>[Threaded comment]
Your version of Excel allows you to read this threaded comment; however, any edits to it will get removed if the file is opened in a newer version of Excel. Learn more: https://go.microsoft.com/fwlink/?linkid=870924
Comment:
    One charger serves 6-8 buses per hour. Assume 1 charger/7 buses</t>
      </text>
    </comment>
    <comment ref="J41" authorId="17" shapeId="0" xr:uid="{0A1E473B-E660-48EF-B3E6-E71E28BD3B72}">
      <text>
        <t>[Threaded comment]
Your version of Excel allows you to read this threaded comment; however, any edits to it will get removed if the file is opened in a newer version of Excel. Learn more: https://go.microsoft.com/fwlink/?linkid=870924
Comment:
    This matches percentage of SOVs to replace with Evs with population - may overestimate number of vehicles.</t>
      </text>
    </comment>
    <comment ref="C42" authorId="18" shapeId="0" xr:uid="{7D8C6FFB-3FB7-4114-A9C7-380C7093C173}">
      <text>
        <t>[Threaded comment]
Your version of Excel allows you to read this threaded comment; however, any edits to it will get removed if the file is opened in a newer version of Excel. Learn more: https://go.microsoft.com/fwlink/?linkid=870924
Comment:
    Wide range for propane/CNG/LNG vs hydrogen</t>
      </text>
    </comment>
    <comment ref="O42" authorId="19" shapeId="0" xr:uid="{88944697-453C-4031-A0F7-54EE7D36FAA3}">
      <text>
        <t>[Threaded comment]
Your version of Excel allows you to read this threaded comment; however, any edits to it will get removed if the file is opened in a newer version of Excel. Learn more: https://go.microsoft.com/fwlink/?linkid=870924
Comment:
    This source referenced for cost of biodiesel bus, endorsed by oregon.gov 2022</t>
      </text>
    </comment>
    <comment ref="C43" authorId="20" shapeId="0" xr:uid="{C630825F-348F-4087-A597-5ADB612AD6D9}">
      <text>
        <t>[Threaded comment]
Your version of Excel allows you to read this threaded comment; however, any edits to it will get removed if the file is opened in a newer version of Excel. Learn more: https://go.microsoft.com/fwlink/?linkid=870924
Comment:
    DOT says cost of bike lane is between 5k-50k per mile</t>
      </text>
    </comment>
    <comment ref="H46" authorId="21" shapeId="0" xr:uid="{8954BB4D-410F-4185-89E8-BE57A88677D3}">
      <text>
        <t>[Threaded comment]
Your version of Excel allows you to read this threaded comment; however, any edits to it will get removed if the file is opened in a newer version of Excel. Learn more: https://go.microsoft.com/fwlink/?linkid=870924
Comment:
    Currently for a Medium 5-9 foot tree, should we find cost of seedlings? The GHG reduction measure calc is for a large deciduous/evergreen tree…. (also large trees are ~$2000)</t>
      </text>
    </comment>
    <comment ref="H49" authorId="22" shapeId="0" xr:uid="{0CD198AF-BFB8-4DB4-A33F-437F56D2F096}">
      <text>
        <t>[Threaded comment]
Your version of Excel allows you to read this threaded comment; however, any edits to it will get removed if the file is opened in a newer version of Excel. Learn more: https://go.microsoft.com/fwlink/?linkid=870924
Comment:
    May need more info on zoning policy development process for Tribes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tc={86FD55DE-EEA6-4D7C-A122-24CAA3725DC9}</author>
    <author>Dominic Molinari</author>
    <author>tc={7D141C83-7656-4061-A0F6-DBDA67DD6835}</author>
    <author>tc={3623C7C1-E5E0-422B-9C0D-B874F2EC5362}</author>
    <author>tc={A7D2C984-A3C0-4C45-8DBD-18E76E0F4224}</author>
    <author>tc={EED72967-A52B-430D-B1F0-C52A529DAF1F}</author>
    <author>tc={4A773E69-CFCA-4FC3-8E54-31AD7CF4127C}</author>
    <author>tc={C77354D6-E56D-4BC7-B667-40D8BDDB823F}</author>
    <author>tc={2B7EFA73-4290-4E73-9988-143818ABC863}</author>
    <author>tc={DEE0592B-5B9C-4FFB-8F8F-145BE4B1492F}</author>
    <author>tc={F11BE59A-4ADD-475D-B192-68ED968FC944}</author>
    <author>tc={529EB54B-06DD-4AD9-85EE-0FD6EA937D7B}</author>
    <author>tc={4D2E2D26-160F-46D4-B8E3-0AAD76CEA99E}</author>
    <author>tc={6F744E7B-AD49-4198-BACC-04DE0A1569FA}</author>
    <author>tc={FA36B411-128F-4FF1-80B4-9A42288AA786}</author>
    <author>tc={187B8BAF-E537-4E2F-A012-8B18E34B1063}</author>
    <author>tc={AA1AE033-C9F3-4798-BD88-F24EDAB2A8B3}</author>
    <author>tc={E2B741BB-46B9-4833-A30C-A931A5633963}</author>
    <author>tc={09CDD625-0FB2-4ADB-9D6F-3E721B2E6AF3}</author>
    <author>tc={576B0DE7-2C94-4954-A5D1-95595843D4ED}</author>
    <author>tc={9D1032C2-7349-4E9C-8521-84DA87342CA1}</author>
    <author>tc={4C978205-ED83-4A3E-9626-768179CD550F}</author>
    <author>tc={D666CF02-9A61-43DA-9054-54A6257D12AB}</author>
    <author>tc={B8D4B32F-05ED-4397-8944-E6EB9879095F}</author>
    <author>tc={66ADCA40-A485-40C9-B35B-04BB1ADF92E3}</author>
    <author>tc={9F817978-EBBA-4BAE-A102-013808EFFD9C}</author>
    <author>tc={0E1BFFD4-9FAE-4C5B-A35C-673F3E71E5F3}</author>
    <author>Shikha Srinivas</author>
  </authors>
  <commentList>
    <comment ref="A4" authorId="0" shapeId="0" xr:uid="{86FD55DE-EEA6-4D7C-A122-24CAA3725DC9}">
      <text>
        <t>[Threaded comment]
Your version of Excel allows you to read this threaded comment; however, any edits to it will get removed if the file is opened in a newer version of Excel. Learn more: https://go.microsoft.com/fwlink/?linkid=870924
Comment:
    https://maps.nrel.gov/slope/data-viewer?filters=%5B%5D&amp;layer=comstock.electricity-savings-potential&amp;geoId=G27&amp;year=2012&amp;res=state
Reply:
    Used US Census data to get number of housing units and divide potential savings by house</t>
      </text>
    </comment>
    <comment ref="H4" authorId="1" shapeId="0" xr:uid="{510C014F-5B66-42C3-ACF7-7FDA4BFCDECD}">
      <text>
        <r>
          <rPr>
            <b/>
            <sz val="9"/>
            <color indexed="81"/>
            <rFont val="Tahoma"/>
            <family val="2"/>
          </rPr>
          <t>Dominic Molinari:</t>
        </r>
        <r>
          <rPr>
            <sz val="9"/>
            <color indexed="81"/>
            <rFont val="Tahoma"/>
            <family val="2"/>
          </rPr>
          <t xml:space="preserve">
Based on Woven feedback that existing Tribal homes are much less efficient than the state average in terms of insulation and weatherization</t>
        </r>
      </text>
    </comment>
    <comment ref="E8" authorId="2" shapeId="0" xr:uid="{7D141C83-7656-4061-A0F6-DBDA67DD6835}">
      <text>
        <t>[Threaded comment]
Your version of Excel allows you to read this threaded comment; however, any edits to it will get removed if the file is opened in a newer version of Excel. Learn more: https://go.microsoft.com/fwlink/?linkid=870924
Comment:
    Methodology combines DOE / Energy Star estimates for energy savings of high-energy efficiency appliances with RECs end use electricity breakdowns for how much appliance contributes to electricity use. 
See Columns A-D below strategy calculations)</t>
      </text>
    </comment>
    <comment ref="A12" authorId="3" shapeId="0" xr:uid="{3623C7C1-E5E0-422B-9C0D-B874F2EC5362}">
      <text>
        <t>[Threaded comment]
Your version of Excel allows you to read this threaded comment; however, any edits to it will get removed if the file is opened in a newer version of Excel. Learn more: https://go.microsoft.com/fwlink/?linkid=870924
Comment:
    https://maps.nrel.gov/slope/data-viewer?filters=%5B%5D&amp;layer=comstock.electricity-savings-potential&amp;geoId=G27&amp;year=2012&amp;res=state
Reply:
    Used US Census data to get number of housing units and divide potential savings by house</t>
      </text>
    </comment>
    <comment ref="C12" authorId="4" shapeId="0" xr:uid="{A7D2C984-A3C0-4C45-8DBD-18E76E0F4224}">
      <text>
        <t>[Threaded comment]
Your version of Excel allows you to read this threaded comment; however, any edits to it will get removed if the file is opened in a newer version of Excel. Learn more: https://go.microsoft.com/fwlink/?linkid=870924
Comment:
    Negative to represent an increase in energy (negative energy savings)</t>
      </text>
    </comment>
    <comment ref="F16" authorId="5" shapeId="0" xr:uid="{EED72967-A52B-430D-B1F0-C52A529DAF1F}">
      <text>
        <t xml:space="preserve">[Threaded comment]
Your version of Excel allows you to read this threaded comment; however, any edits to it will get removed if the file is opened in a newer version of Excel. Learn more: https://go.microsoft.com/fwlink/?linkid=870924
Comment:
    Average of EED_1365_BROCH_StateEnergyCodes_states_MINNESOTA.pdf  &amp; EED_1365_BROCH_StateEnergyCodes_states_WISCONSIN.pdf </t>
      </text>
    </comment>
    <comment ref="E19" authorId="6" shapeId="0" xr:uid="{4A773E69-CFCA-4FC3-8E54-31AD7CF4127C}">
      <text>
        <t xml:space="preserve">[Threaded comment]
Your version of Excel allows you to read this threaded comment; however, any edits to it will get removed if the file is opened in a newer version of Excel. Learn more: https://go.microsoft.com/fwlink/?linkid=870924
Comment:
    EED_1365_BROCH_StateEnergyCodes_states_MINNESOTA.pdf  &amp; EED_1365_BROCH_StateEnergyCodes_states_WISCONSIN.pdf </t>
      </text>
    </comment>
    <comment ref="A23" authorId="7" shapeId="0" xr:uid="{C77354D6-E56D-4BC7-B667-40D8BDDB823F}">
      <text>
        <t>[Threaded comment]
Your version of Excel allows you to read this threaded comment; however, any edits to it will get removed if the file is opened in a newer version of Excel. Learn more: https://go.microsoft.com/fwlink/?linkid=870924
Comment:
    https://maps.nrel.gov/slope/data-viewer?filters=%5B%5D&amp;layer=comstock.electricity-savings-potential&amp;geoId=G27&amp;year=2012&amp;res=state
Reply:
    Used US Census data to get number of housing units and divide potential savings by house</t>
      </text>
    </comment>
    <comment ref="P24" authorId="8" shapeId="0" xr:uid="{2B7EFA73-4290-4E73-9988-143818ABC863}">
      <text>
        <t>[Threaded comment]
Your version of Excel allows you to read this threaded comment; however, any edits to it will get removed if the file is opened in a newer version of Excel. Learn more: https://go.microsoft.com/fwlink/?linkid=870924
Comment:
    Wisconsin doesn’t have values for attic ins so this is using same as minnesota</t>
      </text>
    </comment>
    <comment ref="A27" authorId="9" shapeId="0" xr:uid="{DEE0592B-5B9C-4FFB-8F8F-145BE4B1492F}">
      <text>
        <t>[Threaded comment]
Your version of Excel allows you to read this threaded comment; however, any edits to it will get removed if the file is opened in a newer version of Excel. Learn more: https://go.microsoft.com/fwlink/?linkid=870924
Comment:
    https://maps.nrel.gov/slope/data-viewer?filters=%5B%5D&amp;layer=comstock.electricity-savings-potential&amp;geoId=G27&amp;year=2012&amp;res=state
Reply:
    Used US Census data to get number of housing units and divide potential savings by house</t>
      </text>
    </comment>
    <comment ref="A31" authorId="10" shapeId="0" xr:uid="{F11BE59A-4ADD-475D-B192-68ED968FC944}">
      <text>
        <t>[Threaded comment]
Your version of Excel allows you to read this threaded comment; however, any edits to it will get removed if the file is opened in a newer version of Excel. Learn more: https://go.microsoft.com/fwlink/?linkid=870924
Comment:
    https://maps.nrel.gov/slope/data-viewer?filters=%5B%5D&amp;layer=comstock.electricity-savings-potential&amp;geoId=G27&amp;year=2012&amp;res=state
Reply:
    Used US Census data to get number of housing units and divide potential savings by house</t>
      </text>
    </comment>
    <comment ref="B31" authorId="11" shapeId="0" xr:uid="{529EB54B-06DD-4AD9-85EE-0FD6EA937D7B}">
      <text>
        <t>[Threaded comment]
Your version of Excel allows you to read this threaded comment; however, any edits to it will get removed if the file is opened in a newer version of Excel. Learn more: https://go.microsoft.com/fwlink/?linkid=870924
Comment:
    https://maps.nrel.gov/slope/data-viewer?filters=%5B%5D&amp;layer=comstock.electricity-savings-potential&amp;geoId=G27&amp;year=2012&amp;res=state
Reply:
    Used US Census data to get number of housing units and divide potential savings by house</t>
      </text>
    </comment>
    <comment ref="E31" authorId="12" shapeId="0" xr:uid="{4D2E2D26-160F-46D4-B8E3-0AAD76CEA99E}">
      <text>
        <t xml:space="preserve">[Threaded comment]
Your version of Excel allows you to read this threaded comment; however, any edits to it will get removed if the file is opened in a newer version of Excel. Learn more: https://go.microsoft.com/fwlink/?linkid=870924
Comment:
    https://www.energystar.gov/products/heating_cooling/smart_thermostats/smart_thermostat_faq
</t>
      </text>
    </comment>
    <comment ref="B40" authorId="13" shapeId="0" xr:uid="{6F744E7B-AD49-4198-BACC-04DE0A1569FA}">
      <text>
        <t>[Threaded comment]
Your version of Excel allows you to read this threaded comment; however, any edits to it will get removed if the file is opened in a newer version of Excel. Learn more: https://go.microsoft.com/fwlink/?linkid=870924
Comment:
    High performance heat pump (has 3.97 efficiency)
Reply:
    Heat Pumps in Cold Places: Three Questions Wisconsinites Are Asking about Heat Pumps - RMI</t>
      </text>
    </comment>
    <comment ref="G45" authorId="14" shapeId="0" xr:uid="{FA36B411-128F-4FF1-80B4-9A42288AA786}">
      <text>
        <t>[Threaded comment]
Your version of Excel allows you to read this threaded comment; however, any edits to it will get removed if the file is opened in a newer version of Excel. Learn more: https://go.microsoft.com/fwlink/?linkid=870924
Comment:
    Found average manually</t>
      </text>
    </comment>
    <comment ref="I45" authorId="15" shapeId="0" xr:uid="{187B8BAF-E537-4E2F-A012-8B18E34B1063}">
      <text>
        <t>[Threaded comment]
Your version of Excel allows you to read this threaded comment; however, any edits to it will get removed if the file is opened in a newer version of Excel. Learn more: https://go.microsoft.com/fwlink/?linkid=870924
Comment:
    Total Emissions Saved (disregard header text in this cell)</t>
      </text>
    </comment>
    <comment ref="A50" authorId="16" shapeId="0" xr:uid="{AA1AE033-C9F3-4798-BD88-F24EDAB2A8B3}">
      <text>
        <t>[Threaded comment]
Your version of Excel allows you to read this threaded comment; however, any edits to it will get removed if the file is opened in a newer version of Excel. Learn more: https://go.microsoft.com/fwlink/?linkid=870924
Comment:
    Not included in PCAP</t>
      </text>
    </comment>
    <comment ref="B51" authorId="17" shapeId="0" xr:uid="{E2B741BB-46B9-4833-A30C-A931A5633963}">
      <text>
        <t>[Threaded comment]
Your version of Excel allows you to read this threaded comment; however, any edits to it will get removed if the file is opened in a newer version of Excel. Learn more: https://go.microsoft.com/fwlink/?linkid=870924
Comment:
    Adjust to emissions per residential unit (home + mf unit).  Would exclude commercial - which would be a analysis gap</t>
      </text>
    </comment>
    <comment ref="C57" authorId="18" shapeId="0" xr:uid="{09CDD625-0FB2-4ADB-9D6F-3E721B2E6AF3}">
      <text>
        <t>[Threaded comment]
Your version of Excel allows you to read this threaded comment; however, any edits to it will get removed if the file is opened in a newer version of Excel. Learn more: https://go.microsoft.com/fwlink/?linkid=870924
Comment:
    Electricity use in homes - U.S. Energy Information Administration (EIA) 
2020 RECs data for relevant appliance</t>
      </text>
    </comment>
    <comment ref="B58" authorId="19" shapeId="0" xr:uid="{576B0DE7-2C94-4954-A5D1-95595843D4ED}">
      <text>
        <t xml:space="preserve">[Threaded comment]
Your version of Excel allows you to read this threaded comment; however, any edits to it will get removed if the file is opened in a newer version of Excel. Learn more: https://go.microsoft.com/fwlink/?linkid=870924
Comment:
    Consumer Guide to Kitchen Appliances (energy.gov) 
ENERGY STAR-qualified dishwashers use 12% less energy </t>
      </text>
    </comment>
    <comment ref="B59" authorId="20" shapeId="0" xr:uid="{9D1032C2-7349-4E9C-8521-84DA87342CA1}">
      <text>
        <t>[Threaded comment]
Your version of Excel allows you to read this threaded comment; however, any edits to it will get removed if the file is opened in a newer version of Excel. Learn more: https://go.microsoft.com/fwlink/?linkid=870924
Comment:
    Consumer Guide to Kitchen Appliances (energy.gov) 
ENERGY STAR-qualified refrigerators use 9% less energy (compared to standard models)</t>
      </text>
    </comment>
    <comment ref="F59" authorId="21" shapeId="0" xr:uid="{4C978205-ED83-4A3E-9626-768179CD550F}">
      <text>
        <t xml:space="preserve">[Threaded comment]
Your version of Excel allows you to read this threaded comment; however, any edits to it will get removed if the file is opened in a newer version of Excel. Learn more: https://go.microsoft.com/fwlink/?linkid=870924
Comment:
    Relative to conventional products, ENERGY STAR certified products typically use 10 to 75 percent less energy and can offer consumer energy cost savings of as much as 75 percent (U.S. EPA, 2016h) 
Energy Efficiency in Affordable Housing (epa.gov) 
</t>
      </text>
    </comment>
    <comment ref="B60" authorId="22" shapeId="0" xr:uid="{D666CF02-9A61-43DA-9054-54A6257D12AB}">
      <text>
        <t xml:space="preserve">[Threaded comment]
Your version of Excel allows you to read this threaded comment; however, any edits to it will get removed if the file is opened in a newer version of Excel. Learn more: https://go.microsoft.com/fwlink/?linkid=870924
Comment:
    https://www.energy.gov/energysaver/laundry#:~:text=ENERGY%20STAR%20clothes%20washers%20clean%20clothes%20use%20nearly%2035%25%20less%20water%20and%2025%25%20less%20energy%20than%20standard%20washers.
Energy Star clothes washers use 25% less energy than standard washers. </t>
      </text>
    </comment>
    <comment ref="C60" authorId="23" shapeId="0" xr:uid="{B8D4B32F-05ED-4397-8944-E6EB9879095F}">
      <text>
        <t>[Threaded comment]
Your version of Excel allows you to read this threaded comment; however, any edits to it will get removed if the file is opened in a newer version of Excel. Learn more: https://go.microsoft.com/fwlink/?linkid=870924
Comment:
    Does not account for water heating (only washer electricity), which could bring the total up</t>
      </text>
    </comment>
    <comment ref="B61" authorId="24" shapeId="0" xr:uid="{66ADCA40-A485-40C9-B35B-04BB1ADF92E3}">
      <text>
        <t>[Threaded comment]
Your version of Excel allows you to read this threaded comment; however, any edits to it will get removed if the file is opened in a newer version of Excel. Learn more: https://go.microsoft.com/fwlink/?linkid=870924
Comment:
    https://www.energy.gov/energysaver/laundry#:~:text=ENERGY%20STAR%20clothes%20dryers%20use%2020%25%20less%20energy%20than%20conventional%20models. 
Energy Star clothes dryers use 20% less energy than conventional models</t>
      </text>
    </comment>
    <comment ref="B62" authorId="25" shapeId="0" xr:uid="{9F817978-EBBA-4BAE-A102-013808EFFD9C}">
      <text>
        <t>[Threaded comment]
Your version of Excel allows you to read this threaded comment; however, any edits to it will get removed if the file is opened in a newer version of Excel. Learn more: https://go.microsoft.com/fwlink/?linkid=870924
Comment:
    "By switching to high-efficiency air conditioners and taking other actions to keep your home cool, you could reduce your energy use by 20% to 50%."
https://www.energy.gov/energysaver/articles/save-money-and-stay-cool-efficient-well-maintained-air-conditioner#:~:text=By%20switching%20to%20high%2Defficiency%20air%20conditioners%20and%20taking%20other%20actions%20to%20keep%20your%20home%20cool%2C%20you%20could%20reduce%20your%20energy%20use%20by%2020%25%20to%2050%25
Reply:
    Conservatively assuming 20% savings given we are not prescribing other home cooling tips</t>
      </text>
    </comment>
    <comment ref="N79" authorId="26" shapeId="0" xr:uid="{0E1BFFD4-9FAE-4C5B-A35C-673F3E71E5F3}">
      <text>
        <t>[Threaded comment]
Your version of Excel allows you to read this threaded comment; however, any edits to it will get removed if the file is opened in a newer version of Excel. Learn more: https://go.microsoft.com/fwlink/?linkid=870924
Comment:
    26% can be 3.0-7.0 gallons</t>
      </text>
    </comment>
    <comment ref="Q79" authorId="27" shapeId="0" xr:uid="{30E7ABE9-3AF0-4E77-8600-39621A79182B}">
      <text>
        <r>
          <rPr>
            <b/>
            <sz val="9"/>
            <color indexed="81"/>
            <rFont val="Tahoma"/>
            <family val="2"/>
          </rPr>
          <t>Shikha Srinivas:</t>
        </r>
        <r>
          <rPr>
            <sz val="9"/>
            <color indexed="81"/>
            <rFont val="Tahoma"/>
            <family val="2"/>
          </rPr>
          <t xml:space="preserve">
From Watersense: 10 story building, 1000 occupants - baseline assumption</t>
        </r>
      </text>
    </comment>
    <comment ref="Q80" authorId="27" shapeId="0" xr:uid="{6091FE67-4DFF-4C69-8435-21DC2C736A9D}">
      <text>
        <r>
          <rPr>
            <b/>
            <sz val="9"/>
            <color indexed="81"/>
            <rFont val="Tahoma"/>
            <family val="2"/>
          </rPr>
          <t>Shikha Srinivas:</t>
        </r>
        <r>
          <rPr>
            <sz val="9"/>
            <color indexed="81"/>
            <rFont val="Tahoma"/>
            <family val="2"/>
          </rPr>
          <t xml:space="preserve">
From WaterSense - Average Family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tc={1B902D4F-048B-47FA-A45A-76422C11F81A}</author>
    <author>tc={62331F9D-EEE8-46E4-8C24-6E65E945D042}</author>
    <author>tc={E6E7FC46-08D6-4F89-B6F4-B7CB46B6F0A8}</author>
    <author>tc={D040E9BA-0F32-442D-90C2-6AEBE0D1DE5F}</author>
    <author>tc={2EC96343-C0A8-41F2-A0E7-B6F8FC6A5E8D}</author>
    <author>tc={0040739E-3A17-47A9-BFD4-35A622ECB104}</author>
    <author>tc={A6A34402-08FF-4B00-AB04-5159A49225B6}</author>
    <author>tc={769CE654-83D2-47D2-A3D6-6226C6853936}</author>
    <author>tc={CE5D22F3-93B1-4B3C-9235-EEB0AD811404}</author>
    <author>tc={B69E5514-4B9E-4551-B53C-A6126439B342}</author>
    <author>tc={A23769A8-6F52-459E-B37A-9D17FCA2B4BF}</author>
    <author>tc={FEBE41EB-FC89-4198-8CF7-806621641EF0}</author>
    <author>tc={D99F2BA0-C230-4330-A5AF-2AE8FFE60934}</author>
    <author>tc={B744F274-8A36-4955-8A81-6BEDDA61FD3D}</author>
    <author>tc={101A802A-3CCD-462D-BAC3-6AA86FFA2A56}</author>
  </authors>
  <commentList>
    <comment ref="H4" authorId="0" shapeId="0" xr:uid="{1B902D4F-048B-47FA-A45A-76422C11F81A}">
      <text>
        <t xml:space="preserve">[Threaded comment]
Your version of Excel allows you to read this threaded comment; however, any edits to it will get removed if the file is opened in a newer version of Excel. Learn more: https://go.microsoft.com/fwlink/?linkid=870924
Comment:
    Electricity use of electrified fleet vehicles </t>
      </text>
    </comment>
    <comment ref="I4" authorId="1" shapeId="0" xr:uid="{62331F9D-EEE8-46E4-8C24-6E65E945D042}">
      <text>
        <t xml:space="preserve">[Threaded comment]
Your version of Excel allows you to read this threaded comment; however, any edits to it will get removed if the file is opened in a newer version of Excel. Learn more: https://go.microsoft.com/fwlink/?linkid=870924
Comment:
    Electricity use of electrified fleet vehicles 
</t>
      </text>
    </comment>
    <comment ref="D5" authorId="2" shapeId="0" xr:uid="{E6E7FC46-08D6-4F89-B6F4-B7CB46B6F0A8}">
      <text>
        <t>[Threaded comment]
Your version of Excel allows you to read this threaded comment; however, any edits to it will get removed if the file is opened in a newer version of Excel. Learn more: https://go.microsoft.com/fwlink/?linkid=870924
Comment:
    Based on assumption for School Bus in GHG Inventory: https://afdc.energy.gov/data/10310</t>
      </text>
    </comment>
    <comment ref="F5" authorId="3" shapeId="0" xr:uid="{D040E9BA-0F32-442D-90C2-6AEBE0D1DE5F}">
      <text>
        <t>[Threaded comment]
Your version of Excel allows you to read this threaded comment; however, any edits to it will get removed if the file is opened in a newer version of Excel. Learn more: https://go.microsoft.com/fwlink/?linkid=870924
Comment:
    https://afdc.energy.gov/vehicles/electric_school_buses_p4_m1.html#:~:text=A%20typical%20bus%20can%20travel,energy%20for%20every%20mile%20traveled.</t>
      </text>
    </comment>
    <comment ref="J5" authorId="4" shapeId="0" xr:uid="{2EC96343-C0A8-41F2-A0E7-B6F8FC6A5E8D}">
      <text>
        <t xml:space="preserve">[Threaded comment]
Your version of Excel allows you to read this threaded comment; however, any edits to it will get removed if the file is opened in a newer version of Excel. Learn more: https://go.microsoft.com/fwlink/?linkid=870924
Comment:
    Methodology: Remaining Diesel Emissions + Added Electricity Emissions-&gt; 
Total emissions * (1- % electric) + added emissions from electricity  </t>
      </text>
    </comment>
    <comment ref="H9" authorId="5" shapeId="0" xr:uid="{0040739E-3A17-47A9-BFD4-35A622ECB104}">
      <text>
        <t xml:space="preserve">[Threaded comment]
Your version of Excel allows you to read this threaded comment; however, any edits to it will get removed if the file is opened in a newer version of Excel. Learn more: https://go.microsoft.com/fwlink/?linkid=870924
Comment:
    Electricity use of electrified fleet vehicles </t>
      </text>
    </comment>
    <comment ref="I9" authorId="6" shapeId="0" xr:uid="{A6A34402-08FF-4B00-AB04-5159A49225B6}">
      <text>
        <t xml:space="preserve">[Threaded comment]
Your version of Excel allows you to read this threaded comment; however, any edits to it will get removed if the file is opened in a newer version of Excel. Learn more: https://go.microsoft.com/fwlink/?linkid=870924
Comment:
    Electricity use of electrified fleet vehicles 
</t>
      </text>
    </comment>
    <comment ref="D10" authorId="7" shapeId="0" xr:uid="{769CE654-83D2-47D2-A3D6-6226C6853936}">
      <text>
        <t>[Threaded comment]
Your version of Excel allows you to read this threaded comment; however, any edits to it will get removed if the file is opened in a newer version of Excel. Learn more: https://go.microsoft.com/fwlink/?linkid=870924
Comment:
    Based on assumption for SOV in GHG Inventory: https://afdc.energy.gov/data/10310</t>
      </text>
    </comment>
    <comment ref="F10" authorId="8" shapeId="0" xr:uid="{CE5D22F3-93B1-4B3C-9235-EEB0AD811404}">
      <text>
        <t>[Threaded comment]
Your version of Excel allows you to read this threaded comment; however, any edits to it will get removed if the file is opened in a newer version of Excel. Learn more: https://go.microsoft.com/fwlink/?linkid=870924
Comment:
    Based on DOE kWh estimate (https://www.energy.gov/sites/prod/files/2013/06/f1/eGallon-methodology-final.pdf)</t>
      </text>
    </comment>
    <comment ref="J10" authorId="9" shapeId="0" xr:uid="{B69E5514-4B9E-4551-B53C-A6126439B342}">
      <text>
        <t xml:space="preserve">[Threaded comment]
Your version of Excel allows you to read this threaded comment; however, any edits to it will get removed if the file is opened in a newer version of Excel. Learn more: https://go.microsoft.com/fwlink/?linkid=870924
Comment:
    Methodology: Remaining Gasoline Emissions + Added Electricity Emissions-&gt; 
Total emissions * (1- % electric) + added emissions from electricity  </t>
      </text>
    </comment>
    <comment ref="D12" authorId="10" shapeId="0" xr:uid="{A23769A8-6F52-459E-B37A-9D17FCA2B4BF}">
      <text>
        <t>[Threaded comment]
Your version of Excel allows you to read this threaded comment; however, any edits to it will get removed if the file is opened in a newer version of Excel. Learn more: https://go.microsoft.com/fwlink/?linkid=870924
Comment:
    Based on assumption for SOV in GHG Inventory: https://afdc.energy.gov/data/10310</t>
      </text>
    </comment>
    <comment ref="F12" authorId="11" shapeId="0" xr:uid="{FEBE41EB-FC89-4198-8CF7-806621641EF0}">
      <text>
        <t>[Threaded comment]
Your version of Excel allows you to read this threaded comment; however, any edits to it will get removed if the file is opened in a newer version of Excel. Learn more: https://go.microsoft.com/fwlink/?linkid=870924
Comment:
    Based on DOE kWh estimate (https://www.energy.gov/sites/prod/files/2013/06/f1/eGallon-methodology-final.pdf)</t>
      </text>
    </comment>
    <comment ref="I15" authorId="12" shapeId="0" xr:uid="{D99F2BA0-C230-4330-A5AF-2AE8FFE60934}">
      <text>
        <t>[Threaded comment]
Your version of Excel allows you to read this threaded comment; however, any edits to it will get removed if the file is opened in a newer version of Excel. Learn more: https://go.microsoft.com/fwlink/?linkid=870924
Comment:
    https://www.sciencedirect.com/science/article/pii/S0965856417316117#:~:text=Taking%20into%20account%20individual%20travel,to%20existing%20walking%20and%20cycling.</t>
      </text>
    </comment>
    <comment ref="C20" authorId="13" shapeId="0" xr:uid="{B744F274-8A36-4955-8A81-6BEDDA61FD3D}">
      <text>
        <t>[Threaded comment]
Your version of Excel allows you to read this threaded comment; however, any edits to it will get removed if the file is opened in a newer version of Excel. Learn more: https://go.microsoft.com/fwlink/?linkid=870924
Comment:
    According to DOT stat, bus transit produces 33% less GHG per passenger mile than average SOV
Reply:
    https://www.transit.dot.gov/sites/fta.dot.gov/files/docs/PublicTransportationsRoleInRespondingToClimateChange2010.pdf</t>
      </text>
    </comment>
    <comment ref="G34" authorId="14" shapeId="0" xr:uid="{101A802A-3CCD-462D-BAC3-6AA86FFA2A56}">
      <text>
        <t>[Threaded comment]
Your version of Excel allows you to read this threaded comment; however, any edits to it will get removed if the file is opened in a newer version of Excel. Learn more: https://go.microsoft.com/fwlink/?linkid=870924
Comment:
    Based on assumption for School Bus in GHG Inventory: https://afdc.energy.gov/data/10310</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tc={42FC31A9-D26A-42B8-8C55-520233427E5E}</author>
    <author>tc={230C40C6-05E6-4D23-AD2F-0257E717113F}</author>
  </authors>
  <commentList>
    <comment ref="A5" authorId="0" shapeId="0" xr:uid="{42FC31A9-D26A-42B8-8C55-520233427E5E}">
      <text>
        <t>[Threaded comment]
Your version of Excel allows you to read this threaded comment; however, any edits to it will get removed if the file is opened in a newer version of Excel. Learn more: https://go.microsoft.com/fwlink/?linkid=870924
Comment:
    https://www.ourenergyco.com/blog/tribal-microgrids</t>
      </text>
    </comment>
    <comment ref="B7" authorId="1" shapeId="0" xr:uid="{230C40C6-05E6-4D23-AD2F-0257E717113F}">
      <text>
        <t>[Threaded comment]
Your version of Excel allows you to read this threaded comment; however, any edits to it will get removed if the file is opened in a newer version of Excel. Learn more: https://go.microsoft.com/fwlink/?linkid=870924
Comment:
    https://pvwatts.nrel.gov/pvwatts.php</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tc={C5CA77D8-689C-4628-9BCA-0B8CDBEBDC37}</author>
    <author>tc={0A4B7F17-F25F-4CB2-A122-432C9694AC13}</author>
    <author>tc={CCF618AD-6F90-479C-8323-5448D249E75B}</author>
    <author>tc={41C4BA28-10A9-485C-B640-4AF3C2961608}</author>
    <author>tc={506F394C-EEAB-4348-A712-D6E33A4E0F5B}</author>
    <author>tc={CCDE0AD7-64BA-4F0B-8CCF-5A1B76C2E8B3}</author>
    <author>tc={7AD54AE9-42EA-4F9B-986E-92C7BD1CCB71}</author>
    <author>tc={112E497D-F003-4B2D-A775-4A089CD57B56}</author>
    <author>tc={1157696A-93C4-4A8A-AE4B-58CFA88C3181}</author>
    <author>tc={BD2EDC0A-2C6E-4823-A837-A8B5A45FE951}</author>
    <author>tc={E3EFD2EF-9E30-4C8D-BE80-01650F14BF01}</author>
    <author>tc={2519C157-6C5C-4F30-B253-D148E2A2DF79}</author>
    <author>tc={B42CECB0-DE41-4F1D-A083-50A0721E81A4}</author>
  </authors>
  <commentList>
    <comment ref="B4" authorId="0" shapeId="0" xr:uid="{C5CA77D8-689C-4628-9BCA-0B8CDBEBDC37}">
      <text>
        <t>[Threaded comment]
Your version of Excel allows you to read this threaded comment; however, any edits to it will get removed if the file is opened in a newer version of Excel. Learn more: https://go.microsoft.com/fwlink/?linkid=870924
Comment:
    https://pvwatts.nrel.gov/pvwatts.php</t>
      </text>
    </comment>
    <comment ref="C10" authorId="1" shapeId="0" xr:uid="{0A4B7F17-F25F-4CB2-A122-432C9694AC13}">
      <text>
        <t>[Threaded comment]
Your version of Excel allows you to read this threaded comment; however, any edits to it will get removed if the file is opened in a newer version of Excel. Learn more: https://go.microsoft.com/fwlink/?linkid=870924
Comment:
    80% of homes</t>
      </text>
    </comment>
    <comment ref="B12" authorId="2" shapeId="0" xr:uid="{CCF618AD-6F90-479C-8323-5448D249E75B}">
      <text>
        <t>[Threaded comment]
Your version of Excel allows you to read this threaded comment; however, any edits to it will get removed if the file is opened in a newer version of Excel. Learn more: https://go.microsoft.com/fwlink/?linkid=870924
Comment:
    https://pvwatts.nrel.gov/pvwatts.php</t>
      </text>
    </comment>
    <comment ref="C12" authorId="3" shapeId="0" xr:uid="{41C4BA28-10A9-485C-B640-4AF3C2961608}">
      <text>
        <t>[Threaded comment]
Your version of Excel allows you to read this threaded comment; however, any edits to it will get removed if the file is opened in a newer version of Excel. Learn more: https://go.microsoft.com/fwlink/?linkid=870924
Comment:
    https://pvwatts.nrel.gov/pvwatts.php</t>
      </text>
    </comment>
    <comment ref="B23" authorId="4" shapeId="0" xr:uid="{506F394C-EEAB-4348-A712-D6E33A4E0F5B}">
      <text>
        <t>[Threaded comment]
Your version of Excel allows you to read this threaded comment; however, any edits to it will get removed if the file is opened in a newer version of Excel. Learn more: https://go.microsoft.com/fwlink/?linkid=870924
Comment:
    https://pvwatts.nrel.gov/pvwatts.php</t>
      </text>
    </comment>
    <comment ref="C23" authorId="5" shapeId="0" xr:uid="{CCDE0AD7-64BA-4F0B-8CCF-5A1B76C2E8B3}">
      <text>
        <t>[Threaded comment]
Your version of Excel allows you to read this threaded comment; however, any edits to it will get removed if the file is opened in a newer version of Excel. Learn more: https://go.microsoft.com/fwlink/?linkid=870924
Comment:
    https://pvwatts.nrel.gov/pvwatts.php</t>
      </text>
    </comment>
    <comment ref="B36" authorId="6" shapeId="0" xr:uid="{7AD54AE9-42EA-4F9B-986E-92C7BD1CCB71}">
      <text>
        <t>[Threaded comment]
Your version of Excel allows you to read this threaded comment; however, any edits to it will get removed if the file is opened in a newer version of Excel. Learn more: https://go.microsoft.com/fwlink/?linkid=870924
Comment:
    https://www.energy.gov/energysaver/installing-and-maintaining-small-wind-electric-system#:~:text=Small%20wind%20turbines%20used%20in,kilowatt%2Dhours%20per%20month).
Reply:
    1kW = 200 kWh / month, 12 months in a year, 1000 kWh = 1 MWh
Reply:
    substituting this methodology with the 40% capacity factor used in the MF and commerical calcs to stay consistent</t>
      </text>
    </comment>
    <comment ref="B44" authorId="7" shapeId="0" xr:uid="{112E497D-F003-4B2D-A775-4A089CD57B56}">
      <text>
        <t>[Threaded comment]
Your version of Excel allows you to read this threaded comment; however, any edits to it will get removed if the file is opened in a newer version of Excel. Learn more: https://go.microsoft.com/fwlink/?linkid=870924
Comment:
    40% capacity factor</t>
      </text>
    </comment>
    <comment ref="D47" authorId="8" shapeId="0" xr:uid="{1157696A-93C4-4A8A-AE4B-58CFA88C3181}">
      <text>
        <t>[Threaded comment]
Your version of Excel allows you to read this threaded comment; however, any edits to it will get removed if the file is opened in a newer version of Excel. Learn more: https://go.microsoft.com/fwlink/?linkid=870924
Comment:
    See source from Dominic here
https://rmi.org/clean-energy-101-geothermal-heat-pumps/#:~:text=Geothermal%20heat%20pumps%20use%20about%2080%20percent%20less%20energy%20annually%20than%20industry%2Dstandard%20fossil%20fuel%20furnaces%20to%20heat%20homes%20in%20the%20Midwest.
Reply:
    "based on analysis of residential heating technologies across the Midwest developed by 5 Lakes Energy over the course of a full year "</t>
      </text>
    </comment>
    <comment ref="D60" authorId="9" shapeId="0" xr:uid="{BD2EDC0A-2C6E-4823-A837-A8B5A45FE951}">
      <text>
        <t>[Threaded comment]
Your version of Excel allows you to read this threaded comment; however, any edits to it will get removed if the file is opened in a newer version of Excel. Learn more: https://go.microsoft.com/fwlink/?linkid=870924
Comment:
    https://www.energy.gov/sites/default/files/2021-08/Land-Based%20Wind%20Market%20Report%202021%20Edition_Full%20Report_FINAL.pdf
Reply:
    Average capacity factor 40%</t>
      </text>
    </comment>
    <comment ref="D73" authorId="10" shapeId="0" xr:uid="{E3EFD2EF-9E30-4C8D-BE80-01650F14BF01}">
      <text>
        <t>[Threaded comment]
Your version of Excel allows you to read this threaded comment; however, any edits to it will get removed if the file is opened in a newer version of Excel. Learn more: https://go.microsoft.com/fwlink/?linkid=870924
Comment:
    https://www.energy.gov/sites/default/files/2021-08/Land-Based%20Wind%20Market%20Report%202021%20Edition_Full%20Report_FINAL.pdf
Reply:
    Average capacity factor 40%
Reply:
    40% average for MN &amp; WI newer projects 2015-2019 - see screenshot to the right</t>
      </text>
    </comment>
    <comment ref="B80" authorId="11" shapeId="0" xr:uid="{2519C157-6C5C-4F30-B253-D148E2A2DF79}">
      <text>
        <t>[Threaded comment]
Your version of Excel allows you to read this threaded comment; however, any edits to it will get removed if the file is opened in a newer version of Excel. Learn more: https://go.microsoft.com/fwlink/?linkid=870924
Comment:
    https://pvwatts.nrel.gov/pvwatts.php</t>
      </text>
    </comment>
    <comment ref="B93" authorId="12" shapeId="0" xr:uid="{B42CECB0-DE41-4F1D-A083-50A0721E81A4}">
      <text>
        <t>[Threaded comment]
Your version of Excel allows you to read this threaded comment; however, any edits to it will get removed if the file is opened in a newer version of Excel. Learn more: https://go.microsoft.com/fwlink/?linkid=870924
Comment:
    https://pvwatts.nrel.gov/pvwatts.php</t>
      </text>
    </comment>
  </commentList>
</comments>
</file>

<file path=xl/sharedStrings.xml><?xml version="1.0" encoding="utf-8"?>
<sst xmlns="http://schemas.openxmlformats.org/spreadsheetml/2006/main" count="2431" uniqueCount="1354">
  <si>
    <t>Sector</t>
  </si>
  <si>
    <t>Strategy</t>
  </si>
  <si>
    <t>Measure</t>
  </si>
  <si>
    <t>Buildings</t>
  </si>
  <si>
    <t>smart thermostats</t>
  </si>
  <si>
    <t>Electrification of heating equipment</t>
  </si>
  <si>
    <t>Transportation</t>
  </si>
  <si>
    <t>Enable vehicle electrification</t>
  </si>
  <si>
    <t>On-road (Diesel only)</t>
  </si>
  <si>
    <t>Bus fleet electrification</t>
  </si>
  <si>
    <t>On-road (Gasoline only)</t>
  </si>
  <si>
    <t>influence EV adoption</t>
  </si>
  <si>
    <t>Off-Road (Diesel)</t>
  </si>
  <si>
    <t>Convert agricultural vehicles to all electric</t>
  </si>
  <si>
    <t>Support transportation mode shift</t>
  </si>
  <si>
    <t>Develop active transportation network</t>
  </si>
  <si>
    <t>Increase transit service</t>
  </si>
  <si>
    <t>create ride-share network</t>
  </si>
  <si>
    <t>Infrastructure</t>
  </si>
  <si>
    <t>Implement utility scale renewables</t>
  </si>
  <si>
    <t>All Scope 2</t>
  </si>
  <si>
    <t>1MW of solar needs approximately 10 acres of land</t>
  </si>
  <si>
    <t>Integrate land use planning</t>
  </si>
  <si>
    <t>LED streetlight retrofit</t>
  </si>
  <si>
    <t>GHG Emissions Reduction Metric</t>
  </si>
  <si>
    <t>GHG Emission Baseline (tonnes CO2e)</t>
  </si>
  <si>
    <t>GHG Emission Baseline
Overall % of total</t>
  </si>
  <si>
    <t>100% Adoption - % GHG Reduction</t>
  </si>
  <si>
    <t>Data Source</t>
  </si>
  <si>
    <t>Low Adoption - % Goal</t>
  </si>
  <si>
    <t>Low Adoption - % GHG Reduction</t>
  </si>
  <si>
    <t>Low Adoption - Assumptions</t>
  </si>
  <si>
    <t>High Adoption - % Goal</t>
  </si>
  <si>
    <t>High Adoption - % GHG Reduction</t>
  </si>
  <si>
    <t>High Adoption - Assumptions</t>
  </si>
  <si>
    <t>Overall % GHG Reduction (Low)</t>
  </si>
  <si>
    <t>Overall % GHG Reduction (High)</t>
  </si>
  <si>
    <t>Overall % GHG Reduction (100% adoption)</t>
  </si>
  <si>
    <t>Implement On-site renewables</t>
  </si>
  <si>
    <t>Residential Rooftop solar PV</t>
  </si>
  <si>
    <t>Residential (Scope 2)</t>
  </si>
  <si>
    <t>NREL SLOPE</t>
  </si>
  <si>
    <t>4kW system</t>
  </si>
  <si>
    <t>4 kW system</t>
  </si>
  <si>
    <t>Residential Wind turbines</t>
  </si>
  <si>
    <t>Distributed Wind</t>
  </si>
  <si>
    <t>1.5 kW wind turbine, for one home requiring 300 kWh/mo in location with 14 mph annual avg wind speed</t>
  </si>
  <si>
    <t>1.5 kW wind turbine, for home requiring 300 kWh/mo in location with 14 mph annual avg wind speed</t>
  </si>
  <si>
    <t>Weatherization &amp; Efficiency</t>
  </si>
  <si>
    <t>Residential Weatherization (Insulation &amp; Air Sealing)</t>
  </si>
  <si>
    <t>Residential (Scope 1 + 2)</t>
  </si>
  <si>
    <t>EnergySTAR</t>
  </si>
  <si>
    <t>Climate Zone 6</t>
  </si>
  <si>
    <t>Commercial Weatherization (Insulation &amp; Window Film)</t>
  </si>
  <si>
    <t>Commercial (Scope 1 + 2)</t>
  </si>
  <si>
    <t>All Buildings (Scope 1 + 2)</t>
  </si>
  <si>
    <t>Commercial LED light retrofits (indoor and outdoor)</t>
  </si>
  <si>
    <t>Electrification</t>
  </si>
  <si>
    <t>All Buildings (Scope 1)</t>
  </si>
  <si>
    <t>Electrification of cooking equipment</t>
  </si>
  <si>
    <t>Implement demand response / load shift</t>
  </si>
  <si>
    <t>Implement commercial building benchmarking</t>
  </si>
  <si>
    <t>Adopt new construction standards</t>
  </si>
  <si>
    <t>Model energy code requirements / recommendations</t>
  </si>
  <si>
    <t>resilient design guidelines</t>
  </si>
  <si>
    <t>prototype DOE Zero Energy Ready Homes</t>
  </si>
  <si>
    <t>install EV charging stations</t>
  </si>
  <si>
    <t>Increase bicycle network</t>
  </si>
  <si>
    <t>Install community/utility scale wind turbines</t>
  </si>
  <si>
    <t>Install community solar</t>
  </si>
  <si>
    <t>Prepare for energy resilience</t>
  </si>
  <si>
    <t>3% of Commercial (Scope 2)</t>
  </si>
  <si>
    <t>Arup assumptions: W/fixture and % of Commercial</t>
  </si>
  <si>
    <t>non-LED (200 W) and LED (58W)</t>
  </si>
  <si>
    <t>Tree Planting &lt;20ft from buildings to reduce heating/cooling loads</t>
  </si>
  <si>
    <t>CUFR Tree Carbon Calculator</t>
  </si>
  <si>
    <t>Community tree planting / landscape carbon sink program</t>
  </si>
  <si>
    <t>Total GHG Emissions (Scope 1 + 2)</t>
  </si>
  <si>
    <t>5 year old Sugar Maple</t>
  </si>
  <si>
    <t>implement blue/green infrastructure</t>
  </si>
  <si>
    <t>Reduce waste generated</t>
  </si>
  <si>
    <t>Implement recycling programs</t>
  </si>
  <si>
    <t>Solid Waste + Open Burning</t>
  </si>
  <si>
    <t>Residential curbside compost collection</t>
  </si>
  <si>
    <t>implement community water recyling systems</t>
  </si>
  <si>
    <t>Wastewater (total)</t>
  </si>
  <si>
    <t>Programmatic incentiviation of reduced municipal solid waste generation (e.g., pay per-bag for trash, as in Taiwan)</t>
  </si>
  <si>
    <t>Residential compost bin giveaway and/or trainings</t>
  </si>
  <si>
    <t>Implement community sharing platform to give away materials/goods not being used (akin to 'Buy Nothing' Groups)</t>
  </si>
  <si>
    <t>Total GHG Reduction</t>
  </si>
  <si>
    <t>need to find data</t>
  </si>
  <si>
    <t>not a priority</t>
  </si>
  <si>
    <t>WI</t>
  </si>
  <si>
    <t>MN</t>
  </si>
  <si>
    <t>Natural Gas</t>
  </si>
  <si>
    <t>Propane</t>
  </si>
  <si>
    <t>Electric Heat Pump</t>
  </si>
  <si>
    <t>Natural Gas (therms)</t>
  </si>
  <si>
    <t>Fuel Oil (gallons)</t>
  </si>
  <si>
    <t xml:space="preserve">Propane (gallons) </t>
  </si>
  <si>
    <t>Wood (cords)</t>
  </si>
  <si>
    <t>MWh</t>
  </si>
  <si>
    <t>Trees (common to both, high CO2)</t>
  </si>
  <si>
    <t>Age</t>
  </si>
  <si>
    <t>CO2 Sequestration (kg/tree/yr)</t>
  </si>
  <si>
    <t>Sugar Maple (ACSA2)</t>
  </si>
  <si>
    <t>Commercial</t>
  </si>
  <si>
    <t>Industrial</t>
  </si>
  <si>
    <t>Waste</t>
  </si>
  <si>
    <t>On-road (total)</t>
  </si>
  <si>
    <t>Waterborne</t>
  </si>
  <si>
    <t>Off-road (total)</t>
  </si>
  <si>
    <t xml:space="preserve">EPA 2021 Egrid </t>
  </si>
  <si>
    <t>GWP</t>
  </si>
  <si>
    <t>Unit</t>
  </si>
  <si>
    <t>CO2 (kg)</t>
  </si>
  <si>
    <t>CH4 (kg)</t>
  </si>
  <si>
    <t>N2O (kg)</t>
  </si>
  <si>
    <t>SF6 (kg)</t>
  </si>
  <si>
    <t>Table 1</t>
  </si>
  <si>
    <t>Stationary Combustion</t>
  </si>
  <si>
    <t>Total Output Emission Factors</t>
  </si>
  <si>
    <t>Non-Baseload Emission Factors</t>
  </si>
  <si>
    <t>Fuel Type</t>
  </si>
  <si>
    <t>Heat Content (HHV)</t>
  </si>
  <si>
    <t>CO2 Factor</t>
  </si>
  <si>
    <t>CH4 Factor</t>
  </si>
  <si>
    <t>N2O Factor</t>
  </si>
  <si>
    <r>
      <rPr>
        <b/>
        <vertAlign val="superscript"/>
        <sz val="9"/>
        <rFont val="Arial"/>
        <family val="2"/>
      </rPr>
      <t>CO</t>
    </r>
    <r>
      <rPr>
        <b/>
        <sz val="9"/>
        <rFont val="Arial"/>
        <family val="2"/>
      </rPr>
      <t xml:space="preserve">2 </t>
    </r>
    <r>
      <rPr>
        <b/>
        <vertAlign val="superscript"/>
        <sz val="9"/>
        <rFont val="Arial"/>
        <family val="2"/>
      </rPr>
      <t>Factor</t>
    </r>
  </si>
  <si>
    <r>
      <rPr>
        <b/>
        <vertAlign val="superscript"/>
        <sz val="9"/>
        <rFont val="Arial"/>
        <family val="2"/>
      </rPr>
      <t>CH</t>
    </r>
    <r>
      <rPr>
        <b/>
        <sz val="9"/>
        <rFont val="Arial"/>
        <family val="2"/>
      </rPr>
      <t xml:space="preserve">4 </t>
    </r>
    <r>
      <rPr>
        <b/>
        <vertAlign val="superscript"/>
        <sz val="9"/>
        <rFont val="Arial"/>
        <family val="2"/>
      </rPr>
      <t>Factor</t>
    </r>
  </si>
  <si>
    <r>
      <rPr>
        <b/>
        <vertAlign val="superscript"/>
        <sz val="9"/>
        <rFont val="Arial"/>
        <family val="2"/>
      </rPr>
      <t>N</t>
    </r>
    <r>
      <rPr>
        <b/>
        <sz val="9"/>
        <rFont val="Arial"/>
        <family val="2"/>
      </rPr>
      <t>2</t>
    </r>
    <r>
      <rPr>
        <b/>
        <vertAlign val="superscript"/>
        <sz val="9"/>
        <rFont val="Arial"/>
        <family val="2"/>
      </rPr>
      <t>O Factor</t>
    </r>
  </si>
  <si>
    <t>eGRID Subregion</t>
  </si>
  <si>
    <r>
      <t>CO</t>
    </r>
    <r>
      <rPr>
        <b/>
        <vertAlign val="subscript"/>
        <sz val="10"/>
        <rFont val="Arial"/>
        <family val="2"/>
      </rPr>
      <t>2</t>
    </r>
    <r>
      <rPr>
        <b/>
        <sz val="10"/>
        <rFont val="Arial"/>
        <family val="2"/>
      </rPr>
      <t xml:space="preserve"> Factor</t>
    </r>
  </si>
  <si>
    <r>
      <t>CH</t>
    </r>
    <r>
      <rPr>
        <b/>
        <vertAlign val="subscript"/>
        <sz val="10"/>
        <rFont val="Arial"/>
        <family val="2"/>
      </rPr>
      <t>4</t>
    </r>
    <r>
      <rPr>
        <b/>
        <sz val="10"/>
        <rFont val="Arial"/>
        <family val="2"/>
      </rPr>
      <t xml:space="preserve"> Factor</t>
    </r>
  </si>
  <si>
    <r>
      <t>N</t>
    </r>
    <r>
      <rPr>
        <b/>
        <vertAlign val="subscript"/>
        <sz val="10"/>
        <rFont val="Arial"/>
        <family val="2"/>
      </rPr>
      <t>2</t>
    </r>
    <r>
      <rPr>
        <b/>
        <sz val="10"/>
        <rFont val="Arial"/>
        <family val="2"/>
      </rPr>
      <t>O Factor</t>
    </r>
  </si>
  <si>
    <t>mmBtu per short ton</t>
  </si>
  <si>
    <t>kg CO2 / mmBtu</t>
  </si>
  <si>
    <t>g CH4 / mmBtu</t>
  </si>
  <si>
    <t>g N2O / mmBtu</t>
  </si>
  <si>
    <t>kg CO2 / short ton</t>
  </si>
  <si>
    <t>g CH4 / short ton</t>
  </si>
  <si>
    <t>g N2O / short ton</t>
  </si>
  <si>
    <t>(lb / MWh)</t>
  </si>
  <si>
    <t>Other Fuels - Solid</t>
  </si>
  <si>
    <t>MROW</t>
  </si>
  <si>
    <t>MCT, Leech Lake, Grand Portage, Fond du Lac, Bad River, LCO</t>
  </si>
  <si>
    <t>Municipal Solid Waste</t>
  </si>
  <si>
    <t>MROE</t>
  </si>
  <si>
    <t>Ho-Chunk, Oneida (Wisconsin Public Service Corp, 75%)</t>
  </si>
  <si>
    <t>Petroleum Coke (Solid)</t>
  </si>
  <si>
    <t>RFCW</t>
  </si>
  <si>
    <t>Oneida (WE Energies, 25%)</t>
  </si>
  <si>
    <t>Plastics</t>
  </si>
  <si>
    <t>lb CO2e/MWh</t>
  </si>
  <si>
    <t>Tires</t>
  </si>
  <si>
    <t>Other Fuels - Gaseous</t>
  </si>
  <si>
    <t>Blast Furnace Gas</t>
  </si>
  <si>
    <t>Coke Oven Gas</t>
  </si>
  <si>
    <t>Fuel Gas</t>
  </si>
  <si>
    <t>Conversion Factors</t>
  </si>
  <si>
    <t>Propane Gas</t>
  </si>
  <si>
    <t xml:space="preserve">1 quad = </t>
  </si>
  <si>
    <t>therms</t>
  </si>
  <si>
    <t>Biomass Fuels - Gaseous</t>
  </si>
  <si>
    <t xml:space="preserve">1million tonnes = </t>
  </si>
  <si>
    <t>Tonnes</t>
  </si>
  <si>
    <t>Landfill Gas</t>
  </si>
  <si>
    <t xml:space="preserve">1 metric tonne CO2 = </t>
  </si>
  <si>
    <t>Tonnes CO2e</t>
  </si>
  <si>
    <t>Other Biomass Gases</t>
  </si>
  <si>
    <t xml:space="preserve">1 metric tonne CH4 = </t>
  </si>
  <si>
    <t>Petroleum Products</t>
  </si>
  <si>
    <t xml:space="preserve">1 metric tonne N2O = </t>
  </si>
  <si>
    <t>Asphalt and Road Oil</t>
  </si>
  <si>
    <t xml:space="preserve">1 lb = </t>
  </si>
  <si>
    <t>short tons</t>
  </si>
  <si>
    <t>Aviation Gasoline</t>
  </si>
  <si>
    <t>Butane</t>
  </si>
  <si>
    <t xml:space="preserve">1 km = </t>
  </si>
  <si>
    <t>miles</t>
  </si>
  <si>
    <t>Butylene</t>
  </si>
  <si>
    <t xml:space="preserve">1 g  = </t>
  </si>
  <si>
    <t xml:space="preserve">Mt </t>
  </si>
  <si>
    <t>Crude Oil</t>
  </si>
  <si>
    <t xml:space="preserve">1 MWh = </t>
  </si>
  <si>
    <t>kWh</t>
  </si>
  <si>
    <t>Distillate Fuel Oil No. 1</t>
  </si>
  <si>
    <t xml:space="preserve">1 Metric ton = </t>
  </si>
  <si>
    <t>kilton</t>
  </si>
  <si>
    <t>Distillate Fuel Oil No. 2</t>
  </si>
  <si>
    <t xml:space="preserve">1 scf = </t>
  </si>
  <si>
    <t>Distillate Fuel Oil No. 4</t>
  </si>
  <si>
    <t xml:space="preserve">1 gallon NG = </t>
  </si>
  <si>
    <t>cubic feet</t>
  </si>
  <si>
    <t>Ethane</t>
  </si>
  <si>
    <t>lbs</t>
  </si>
  <si>
    <t>Ethylene</t>
  </si>
  <si>
    <t xml:space="preserve">1 mmBtu NG = </t>
  </si>
  <si>
    <t>therms NG</t>
  </si>
  <si>
    <t>Heavy Gas Oils</t>
  </si>
  <si>
    <t xml:space="preserve">1 therm NG = </t>
  </si>
  <si>
    <t>mmBtu NG</t>
  </si>
  <si>
    <t>Isobutane</t>
  </si>
  <si>
    <t xml:space="preserve">1 kBTU = </t>
  </si>
  <si>
    <t>Isobutylene</t>
  </si>
  <si>
    <t>Wood Species BTU Values</t>
  </si>
  <si>
    <t>Kerosene</t>
  </si>
  <si>
    <t>BTU</t>
  </si>
  <si>
    <t>Kerosene-Type Jet Fuel</t>
  </si>
  <si>
    <t xml:space="preserve">1 gallon LP = </t>
  </si>
  <si>
    <t>Liquefied Petroleum Gases (LPG)</t>
  </si>
  <si>
    <t>1 gallon Fuel Oil (Res. No. 5)</t>
  </si>
  <si>
    <t>Lubricants</t>
  </si>
  <si>
    <t>1 gallon Fuel Oil (No. 2)</t>
  </si>
  <si>
    <t>EPA MSW Density</t>
  </si>
  <si>
    <t>Motor Gasoline</t>
  </si>
  <si>
    <t xml:space="preserve">1 gallon propane = </t>
  </si>
  <si>
    <t>Naphtha (&lt;401 deg F)</t>
  </si>
  <si>
    <t xml:space="preserve">1 BTU = </t>
  </si>
  <si>
    <t>mmBTU</t>
  </si>
  <si>
    <t>Natural Gasoline</t>
  </si>
  <si>
    <t>(approx)</t>
  </si>
  <si>
    <t xml:space="preserve">1 cord wood = </t>
  </si>
  <si>
    <t>Other Oil (&gt;401 deg F)</t>
  </si>
  <si>
    <t xml:space="preserve">1 mmBTU wood = </t>
  </si>
  <si>
    <t>cord wood</t>
  </si>
  <si>
    <t>EIA MSW Report</t>
  </si>
  <si>
    <t>Pentanes Plus</t>
  </si>
  <si>
    <t>pounds wood</t>
  </si>
  <si>
    <t>Petrochemical Feedstocks</t>
  </si>
  <si>
    <t xml:space="preserve">1 kWh = </t>
  </si>
  <si>
    <t xml:space="preserve">1 yd^3 MSW = </t>
  </si>
  <si>
    <t>lbs MSW</t>
  </si>
  <si>
    <t>Propylene</t>
  </si>
  <si>
    <t xml:space="preserve">1 gallon = </t>
  </si>
  <si>
    <t>yd^3</t>
  </si>
  <si>
    <t>Residual Fuel Oil No. 5</t>
  </si>
  <si>
    <t xml:space="preserve">1 burn barrel = </t>
  </si>
  <si>
    <t>gallons</t>
  </si>
  <si>
    <t>Residual Fuel Oil No. 6</t>
  </si>
  <si>
    <t>Special Naphtha</t>
  </si>
  <si>
    <t xml:space="preserve">1 short ton MSW = </t>
  </si>
  <si>
    <t>Unfinished Oils</t>
  </si>
  <si>
    <t>1 kg =</t>
  </si>
  <si>
    <t>MT</t>
  </si>
  <si>
    <t>Used Oil</t>
  </si>
  <si>
    <t>1 Metric ton =</t>
  </si>
  <si>
    <t>US Ton</t>
  </si>
  <si>
    <t>Biomass Fuels - Liquid</t>
  </si>
  <si>
    <t xml:space="preserve">1 gallon fuel oil = </t>
  </si>
  <si>
    <t>Biodiesel (100%)</t>
  </si>
  <si>
    <t>Ethanol (100%)</t>
  </si>
  <si>
    <t>Rendered Animal Fat</t>
  </si>
  <si>
    <t>Vegetable Oil</t>
  </si>
  <si>
    <r>
      <rPr>
        <b/>
        <sz val="8"/>
        <rFont val="Arial"/>
        <family val="2"/>
      </rPr>
      <t>Biomass Fuels -
Kraft Pulping Liquor, by Wood Furnish</t>
    </r>
  </si>
  <si>
    <t>North American Softwood</t>
  </si>
  <si>
    <t>North American Hardwood</t>
  </si>
  <si>
    <t>Bagasse</t>
  </si>
  <si>
    <t>Bamboo</t>
  </si>
  <si>
    <t>Straw</t>
  </si>
  <si>
    <t>Table 2</t>
  </si>
  <si>
    <r>
      <rPr>
        <b/>
        <vertAlign val="superscript"/>
        <sz val="8"/>
        <rFont val="Arial"/>
        <family val="2"/>
      </rPr>
      <t>Mobile Combustion CO</t>
    </r>
    <r>
      <rPr>
        <b/>
        <sz val="8"/>
        <rFont val="Arial"/>
        <family val="2"/>
      </rPr>
      <t>2</t>
    </r>
  </si>
  <si>
    <r>
      <rPr>
        <b/>
        <vertAlign val="superscript"/>
        <sz val="8"/>
        <rFont val="Arial"/>
        <family val="2"/>
      </rPr>
      <t>kg CO</t>
    </r>
    <r>
      <rPr>
        <b/>
        <sz val="8"/>
        <rFont val="Arial"/>
        <family val="2"/>
      </rPr>
      <t xml:space="preserve">2 </t>
    </r>
    <r>
      <rPr>
        <b/>
        <vertAlign val="superscript"/>
        <sz val="8"/>
        <rFont val="Arial"/>
        <family val="2"/>
      </rPr>
      <t>per unit</t>
    </r>
  </si>
  <si>
    <t>gallon</t>
  </si>
  <si>
    <t>Compressed Natural Gas (CNG)</t>
  </si>
  <si>
    <t>scf</t>
  </si>
  <si>
    <t>Diesel Fuel</t>
  </si>
  <si>
    <t>Landfill Emisssions Factor</t>
  </si>
  <si>
    <t>tonnes CH4/tonne MSW</t>
  </si>
  <si>
    <t>Liquefied Natural Gas (LNG)</t>
  </si>
  <si>
    <t>(per GHG Protocol)</t>
  </si>
  <si>
    <t>Residual Fuel Oil</t>
  </si>
  <si>
    <t>Wastewater Emissions Factors</t>
  </si>
  <si>
    <t>tonnes CH4/population</t>
  </si>
  <si>
    <t>tonnes N2O/population</t>
  </si>
  <si>
    <t>Table 3</t>
  </si>
  <si>
    <r>
      <rPr>
        <b/>
        <vertAlign val="superscript"/>
        <sz val="8"/>
        <rFont val="Arial"/>
        <family val="2"/>
      </rPr>
      <t>Mobile Combustion CH</t>
    </r>
    <r>
      <rPr>
        <b/>
        <sz val="8"/>
        <rFont val="Arial"/>
        <family val="2"/>
      </rPr>
      <t xml:space="preserve">4 </t>
    </r>
    <r>
      <rPr>
        <b/>
        <vertAlign val="superscript"/>
        <sz val="8"/>
        <rFont val="Arial"/>
        <family val="2"/>
      </rPr>
      <t>and N</t>
    </r>
    <r>
      <rPr>
        <b/>
        <sz val="8"/>
        <rFont val="Arial"/>
        <family val="2"/>
      </rPr>
      <t>2</t>
    </r>
    <r>
      <rPr>
        <b/>
        <vertAlign val="superscript"/>
        <sz val="8"/>
        <rFont val="Arial"/>
        <family val="2"/>
      </rPr>
      <t>O for On-Road Gasoline Vehicles</t>
    </r>
  </si>
  <si>
    <t>Vehicle Type</t>
  </si>
  <si>
    <t>Year</t>
  </si>
  <si>
    <r>
      <rPr>
        <b/>
        <vertAlign val="superscript"/>
        <sz val="8"/>
        <rFont val="Arial"/>
        <family val="2"/>
      </rPr>
      <t>CH</t>
    </r>
    <r>
      <rPr>
        <b/>
        <sz val="8"/>
        <rFont val="Arial"/>
        <family val="2"/>
      </rPr>
      <t xml:space="preserve">4 </t>
    </r>
    <r>
      <rPr>
        <b/>
        <vertAlign val="superscript"/>
        <sz val="8"/>
        <rFont val="Arial"/>
        <family val="2"/>
      </rPr>
      <t xml:space="preserve">Factor </t>
    </r>
    <r>
      <rPr>
        <b/>
        <sz val="8"/>
        <rFont val="Arial"/>
        <family val="2"/>
      </rPr>
      <t>(g / mile)</t>
    </r>
  </si>
  <si>
    <r>
      <rPr>
        <b/>
        <vertAlign val="superscript"/>
        <sz val="8"/>
        <rFont val="Arial"/>
        <family val="2"/>
      </rPr>
      <t>N</t>
    </r>
    <r>
      <rPr>
        <b/>
        <sz val="8"/>
        <rFont val="Arial"/>
        <family val="2"/>
      </rPr>
      <t>2</t>
    </r>
    <r>
      <rPr>
        <b/>
        <vertAlign val="superscript"/>
        <sz val="8"/>
        <rFont val="Arial"/>
        <family val="2"/>
      </rPr>
      <t xml:space="preserve">O Factor </t>
    </r>
    <r>
      <rPr>
        <b/>
        <sz val="8"/>
        <rFont val="Arial"/>
        <family val="2"/>
      </rPr>
      <t>(g / mile)</t>
    </r>
  </si>
  <si>
    <t>Gasoline Passenger Cars</t>
  </si>
  <si>
    <t>1973-1974</t>
  </si>
  <si>
    <t>Livestock (Buffalo)</t>
  </si>
  <si>
    <t>tonnes CH4/number of cattle</t>
  </si>
  <si>
    <t>tonnes N2O/number of cattle</t>
  </si>
  <si>
    <t>1976-1977</t>
  </si>
  <si>
    <t>1978-1979</t>
  </si>
  <si>
    <t>1984-1993</t>
  </si>
  <si>
    <t>Gasoline Light-Duty Trucks</t>
  </si>
  <si>
    <t>(Vans, Pickup Trucks, SUVs)</t>
  </si>
  <si>
    <t>1977-1978</t>
  </si>
  <si>
    <t>1979-1980</t>
  </si>
  <si>
    <t>1987-1993</t>
  </si>
  <si>
    <t>Gasoline Heavy-Duty Vehicles</t>
  </si>
  <si>
    <t>≤1980</t>
  </si>
  <si>
    <t>1981-1984</t>
  </si>
  <si>
    <t>1985-1986</t>
  </si>
  <si>
    <t>1988-1989</t>
  </si>
  <si>
    <t>1990-1995</t>
  </si>
  <si>
    <t>Gasoline Motorcycles</t>
  </si>
  <si>
    <t>1960-1995</t>
  </si>
  <si>
    <r>
      <rPr>
        <sz val="8"/>
        <color rgb="FF006FC0"/>
        <rFont val="Arial"/>
        <family val="2"/>
      </rPr>
      <t>1996-2005</t>
    </r>
  </si>
  <si>
    <r>
      <rPr>
        <sz val="8"/>
        <color rgb="FF006FC0"/>
        <rFont val="Arial"/>
        <family val="2"/>
      </rPr>
      <t>2006-2020</t>
    </r>
  </si>
  <si>
    <t>Table 4</t>
  </si>
  <si>
    <r>
      <rPr>
        <b/>
        <vertAlign val="superscript"/>
        <sz val="8"/>
        <rFont val="Arial"/>
        <family val="2"/>
      </rPr>
      <t>Mobile Combustion CH</t>
    </r>
    <r>
      <rPr>
        <b/>
        <sz val="8"/>
        <rFont val="Arial"/>
        <family val="2"/>
      </rPr>
      <t xml:space="preserve">4 </t>
    </r>
    <r>
      <rPr>
        <b/>
        <vertAlign val="superscript"/>
        <sz val="8"/>
        <rFont val="Arial"/>
        <family val="2"/>
      </rPr>
      <t>and N</t>
    </r>
    <r>
      <rPr>
        <b/>
        <sz val="8"/>
        <rFont val="Arial"/>
        <family val="2"/>
      </rPr>
      <t>2</t>
    </r>
    <r>
      <rPr>
        <b/>
        <vertAlign val="superscript"/>
        <sz val="8"/>
        <rFont val="Arial"/>
        <family val="2"/>
      </rPr>
      <t>O for On-Road Diesel and Alternative Fuel Vehicles</t>
    </r>
  </si>
  <si>
    <t>Vehicle Year</t>
  </si>
  <si>
    <t>Passenger Cars</t>
  </si>
  <si>
    <t>Diesel</t>
  </si>
  <si>
    <t>1960-1982</t>
  </si>
  <si>
    <t>1983-2006</t>
  </si>
  <si>
    <t>2007-2020</t>
  </si>
  <si>
    <t>Light-Duty Trucks</t>
  </si>
  <si>
    <t>Medium- and Heavy-Duty Vehicles</t>
  </si>
  <si>
    <t>1960-2006</t>
  </si>
  <si>
    <t>Light-Duty Cars</t>
  </si>
  <si>
    <t>Methanol</t>
  </si>
  <si>
    <t>Ethanol</t>
  </si>
  <si>
    <t>CNG</t>
  </si>
  <si>
    <t>LPG</t>
  </si>
  <si>
    <t>Biodiesel</t>
  </si>
  <si>
    <t>LNG</t>
  </si>
  <si>
    <t>Medium-Duty Trucks</t>
  </si>
  <si>
    <t>Heavy-Duty Trucks</t>
  </si>
  <si>
    <t>Buses</t>
  </si>
  <si>
    <t>Table 5</t>
  </si>
  <si>
    <r>
      <rPr>
        <b/>
        <vertAlign val="superscript"/>
        <sz val="8"/>
        <rFont val="Arial"/>
        <family val="2"/>
      </rPr>
      <t>Mobile Combustion CH</t>
    </r>
    <r>
      <rPr>
        <b/>
        <sz val="8"/>
        <rFont val="Arial"/>
        <family val="2"/>
      </rPr>
      <t xml:space="preserve">4 </t>
    </r>
    <r>
      <rPr>
        <b/>
        <vertAlign val="superscript"/>
        <sz val="8"/>
        <rFont val="Arial"/>
        <family val="2"/>
      </rPr>
      <t>and N</t>
    </r>
    <r>
      <rPr>
        <b/>
        <sz val="8"/>
        <rFont val="Arial"/>
        <family val="2"/>
      </rPr>
      <t>2</t>
    </r>
    <r>
      <rPr>
        <b/>
        <vertAlign val="superscript"/>
        <sz val="8"/>
        <rFont val="Arial"/>
        <family val="2"/>
      </rPr>
      <t>O for Non-Road Vehicles</t>
    </r>
  </si>
  <si>
    <r>
      <rPr>
        <b/>
        <vertAlign val="superscript"/>
        <sz val="8"/>
        <rFont val="Arial"/>
        <family val="2"/>
      </rPr>
      <t>CH</t>
    </r>
    <r>
      <rPr>
        <b/>
        <sz val="8"/>
        <rFont val="Arial"/>
        <family val="2"/>
      </rPr>
      <t xml:space="preserve">4 </t>
    </r>
    <r>
      <rPr>
        <b/>
        <vertAlign val="superscript"/>
        <sz val="8"/>
        <rFont val="Arial"/>
        <family val="2"/>
      </rPr>
      <t xml:space="preserve">Factor </t>
    </r>
    <r>
      <rPr>
        <b/>
        <sz val="8"/>
        <rFont val="Arial"/>
        <family val="2"/>
      </rPr>
      <t>(g / gallon)</t>
    </r>
  </si>
  <si>
    <r>
      <rPr>
        <b/>
        <vertAlign val="superscript"/>
        <sz val="8"/>
        <rFont val="Arial"/>
        <family val="2"/>
      </rPr>
      <t>N</t>
    </r>
    <r>
      <rPr>
        <b/>
        <sz val="8"/>
        <rFont val="Arial"/>
        <family val="2"/>
      </rPr>
      <t>2</t>
    </r>
    <r>
      <rPr>
        <b/>
        <vertAlign val="superscript"/>
        <sz val="8"/>
        <rFont val="Arial"/>
        <family val="2"/>
      </rPr>
      <t xml:space="preserve">O Factor </t>
    </r>
    <r>
      <rPr>
        <b/>
        <sz val="8"/>
        <rFont val="Arial"/>
        <family val="2"/>
      </rPr>
      <t>(g / gallon)</t>
    </r>
  </si>
  <si>
    <t>Ships and Boats</t>
  </si>
  <si>
    <t>Gasoline (2 stroke)</t>
  </si>
  <si>
    <t>Gasoline (4 stroke)</t>
  </si>
  <si>
    <t>Locomotives</t>
  </si>
  <si>
    <t>Aircraft</t>
  </si>
  <si>
    <t>Jet Fuel</t>
  </si>
  <si>
    <r>
      <t>Agricultural Equipment</t>
    </r>
    <r>
      <rPr>
        <vertAlign val="superscript"/>
        <sz val="8"/>
        <rFont val="Arial"/>
        <family val="2"/>
      </rPr>
      <t>A</t>
    </r>
  </si>
  <si>
    <t>Gasoline Off-Road Trucks</t>
  </si>
  <si>
    <t>Diesel Equipment</t>
  </si>
  <si>
    <t>Diesel Off-Road Trucks</t>
  </si>
  <si>
    <r>
      <t>Construction/Mining Equipment</t>
    </r>
    <r>
      <rPr>
        <vertAlign val="superscript"/>
        <sz val="8"/>
        <rFont val="Arial"/>
        <family val="2"/>
      </rPr>
      <t>B</t>
    </r>
  </si>
  <si>
    <t>Lawn and Garden Equipment</t>
  </si>
  <si>
    <t>Airport Equipment</t>
  </si>
  <si>
    <t>Gasoline</t>
  </si>
  <si>
    <t>Industrial/Commercial Equipment</t>
  </si>
  <si>
    <t>Logging Equipment</t>
  </si>
  <si>
    <t>Railroad Equipment</t>
  </si>
  <si>
    <t>Recreational Equipment</t>
  </si>
  <si>
    <t>Minnesota</t>
  </si>
  <si>
    <t>upgrade_elecfurn_to_vshp_at_wear_out</t>
  </si>
  <si>
    <t>led_lighting</t>
  </si>
  <si>
    <t>r-10_basement_wall_insulation</t>
  </si>
  <si>
    <t>low-e_storm_windows_(diy)</t>
  </si>
  <si>
    <t>smart_thermostat</t>
  </si>
  <si>
    <t>drill-and-fill_wall_insulation</t>
  </si>
  <si>
    <t>r-5_wall_sheathing</t>
  </si>
  <si>
    <t>air_sealing</t>
  </si>
  <si>
    <t>Wisconsin</t>
  </si>
  <si>
    <t>Residential Energy Efficiency</t>
  </si>
  <si>
    <t>Enable Vehicle Electrification</t>
  </si>
  <si>
    <t>Support Transportation Mode-Shift</t>
  </si>
  <si>
    <t>Influence EV Adoption</t>
  </si>
  <si>
    <t>Develop Active Transportation Network</t>
  </si>
  <si>
    <t>Increase Transit Service</t>
  </si>
  <si>
    <t>Influence Ride-Sharing</t>
  </si>
  <si>
    <t xml:space="preserve">Electrify Bus Fleet </t>
  </si>
  <si>
    <t>Electrify Heating Equipment</t>
  </si>
  <si>
    <t>Install Smart Thermostats</t>
  </si>
  <si>
    <t>Weatherization of Non-Residential Buildings (roof &amp; wall insulation, window film)</t>
  </si>
  <si>
    <t>Estimated 3% of Commercial Scope 2</t>
  </si>
  <si>
    <t>low flush toilets</t>
  </si>
  <si>
    <t>Develop clean energy microgrids with battery storage</t>
  </si>
  <si>
    <t>Residential + Multifamily Scope (Scope 1+2)</t>
  </si>
  <si>
    <t>Total Savings</t>
  </si>
  <si>
    <t>Showerheads | US EPA</t>
  </si>
  <si>
    <t>Bathroom Faucets | US EPA</t>
  </si>
  <si>
    <t>CAPCOA Quantifying Greenhouse Gas Mitigation Measures (aqmd.gov) - pg 64</t>
  </si>
  <si>
    <t>https://www.c2es.org/wp-content/uploads/2018/06/innovation-buildings-background-brief-07-18.pdf + WaterSense</t>
  </si>
  <si>
    <t>innovation-buildings-background-brief-07-18.pdf (c2es.org)</t>
  </si>
  <si>
    <t>Install High Efficiency Appliances</t>
  </si>
  <si>
    <t>Install Low-Flow Water Fixtures</t>
  </si>
  <si>
    <t>See page 2 - assuming whole home energy use (Scope 1+2)</t>
  </si>
  <si>
    <t>low flow</t>
  </si>
  <si>
    <t>standard flow</t>
  </si>
  <si>
    <t>Total hot water use</t>
  </si>
  <si>
    <t>saved gallons per year</t>
  </si>
  <si>
    <t>Total min use</t>
  </si>
  <si>
    <t>Saved gpm</t>
  </si>
  <si>
    <t>Typical Gal</t>
  </si>
  <si>
    <t>Weighted hot water usage</t>
  </si>
  <si>
    <t>Savings %</t>
  </si>
  <si>
    <t>Taking weighted average</t>
  </si>
  <si>
    <t>% hot water savings (based on WaterSense)</t>
  </si>
  <si>
    <t>% Water Heating of total scope 1 &amp; 2</t>
  </si>
  <si>
    <t>Retrofit Interior Lighting to LED</t>
  </si>
  <si>
    <t>Retrofit Interior and Exterior Lighting to LED</t>
  </si>
  <si>
    <t>Residential LED light retrofits (indoor)</t>
  </si>
  <si>
    <t>RMI</t>
  </si>
  <si>
    <t xml:space="preserve">low flow </t>
  </si>
  <si>
    <t xml:space="preserve">standard flow </t>
  </si>
  <si>
    <t>saved gpm</t>
  </si>
  <si>
    <t>Low Flow Fixtures</t>
  </si>
  <si>
    <t>Low Flow Toilets (Wastewater)</t>
  </si>
  <si>
    <t xml:space="preserve">Residential </t>
  </si>
  <si>
    <t>Install Residential Geothermal Heat Pump</t>
  </si>
  <si>
    <t>Residential (Scope 1)</t>
  </si>
  <si>
    <t>Adopt Green Building Standards</t>
  </si>
  <si>
    <t>Assuming same proportional reduction in emissions</t>
  </si>
  <si>
    <t>Green Building Codes</t>
  </si>
  <si>
    <t>Other resources</t>
  </si>
  <si>
    <t>Tribal Green Building Code Guidance</t>
  </si>
  <si>
    <t>WaterSense</t>
  </si>
  <si>
    <t>Arup Assumption</t>
  </si>
  <si>
    <t>Average</t>
  </si>
  <si>
    <t>Home energy savings through code compliance</t>
  </si>
  <si>
    <t>Assumed % of major renovations</t>
  </si>
  <si>
    <t>Adopt Green Building Standards for Major Renovation Projects</t>
  </si>
  <si>
    <t>EnergyCodes.gov</t>
  </si>
  <si>
    <t>Reduce Waste Generated</t>
  </si>
  <si>
    <t>Install Low-Flush Toilets</t>
  </si>
  <si>
    <t>Get on your bike: Active transport makes a significant impact on carbon emissions | University of Oxford</t>
  </si>
  <si>
    <t>Total MWh usage (backcalc)</t>
  </si>
  <si>
    <t>Total Scope 2 (tons)</t>
  </si>
  <si>
    <t>% of total usage</t>
  </si>
  <si>
    <t>Weighted Average (for total reduction measures)</t>
  </si>
  <si>
    <t>RMI COP Assumptions</t>
  </si>
  <si>
    <t>Multifamily Buidling Rooftop Solar PV</t>
  </si>
  <si>
    <t>Residential MF (Scope 2)</t>
  </si>
  <si>
    <t>50kW system</t>
  </si>
  <si>
    <t>PV Watts</t>
  </si>
  <si>
    <t>Commercial Building Rooftop Solar PV</t>
  </si>
  <si>
    <t>Commercial (Scope 2)</t>
  </si>
  <si>
    <t>On-site PV (multifamily buildings)</t>
  </si>
  <si>
    <t>On-site PV (commercial buildings)</t>
  </si>
  <si>
    <t>GOAL</t>
  </si>
  <si>
    <t xml:space="preserve">REDUCE EMISSIONS FROM ENERGY GENERATION  </t>
  </si>
  <si>
    <t xml:space="preserve">REDUCE ENERGY CONSUMPTION FROM BUILDINGS (COMMERCIAL &amp; RESIDENTIAL). </t>
  </si>
  <si>
    <t xml:space="preserve">Electrify heating equipment. </t>
  </si>
  <si>
    <t>New Building Standards</t>
  </si>
  <si>
    <t>REDUCE EMISSIONS FROM VEHICLES</t>
  </si>
  <si>
    <t>Develop active transport network</t>
  </si>
  <si>
    <t>Install Multifamily Geothermal Heat Pump</t>
  </si>
  <si>
    <t>Install Commercial Geothermal Heat Pump System</t>
  </si>
  <si>
    <t>Commercial (Scope 1)</t>
  </si>
  <si>
    <t>Mutifamily (Scope 1)</t>
  </si>
  <si>
    <t>Heat Pump Water Heater</t>
  </si>
  <si>
    <t>SF</t>
  </si>
  <si>
    <t>MF</t>
  </si>
  <si>
    <t>NREL Residenital Building Stock Energy Efficiency</t>
  </si>
  <si>
    <t>High Efficiency HP w/ Electric Backup</t>
  </si>
  <si>
    <t>Basic Enclosure Upgrade</t>
  </si>
  <si>
    <t>Combined</t>
  </si>
  <si>
    <t>Multifamily Wind turbines</t>
  </si>
  <si>
    <t>Multifamily (Scope 2)</t>
  </si>
  <si>
    <t>Commercial Wind turbines</t>
  </si>
  <si>
    <t>5kW turbine data sheet</t>
  </si>
  <si>
    <t>5 kW wind turbine</t>
  </si>
  <si>
    <t>Geothermal Multifamily Buildings</t>
  </si>
  <si>
    <t>Geothermal Commercial Buildings</t>
  </si>
  <si>
    <t>50% mode shift to ride share</t>
  </si>
  <si>
    <t>10% mode shift to bus</t>
  </si>
  <si>
    <t>Install commercial facility-scale renewables (PV, geothermal, wind)</t>
  </si>
  <si>
    <t>Install multifamily facility-scale renewables (PV, geothermal, wind)</t>
  </si>
  <si>
    <t>Install residential single-family renewables (PV, geothermal, wind)</t>
  </si>
  <si>
    <t>EPA Egrid Emissions Factors for GHG Inventories</t>
  </si>
  <si>
    <t>Multifamily (Scope 1)</t>
  </si>
  <si>
    <t>Emissions (tonnes CO2e)</t>
  </si>
  <si>
    <t>Percentage of Overall Emissions</t>
  </si>
  <si>
    <t>Land Use</t>
  </si>
  <si>
    <t>Number of Homes</t>
  </si>
  <si>
    <t>Building</t>
  </si>
  <si>
    <t>Single-Family (Scope 2)</t>
  </si>
  <si>
    <t>Single-Family (Scope 1)</t>
  </si>
  <si>
    <t>All Sectors</t>
  </si>
  <si>
    <t>All Sectors (Scope 1)</t>
  </si>
  <si>
    <t>All Sectors (Scope 2)</t>
  </si>
  <si>
    <t>All Sectors (Scope 1+2)</t>
  </si>
  <si>
    <t>Residential SF + MF (Scope 1+2)</t>
  </si>
  <si>
    <t>Residential SF + MF (Scope 2)</t>
  </si>
  <si>
    <t>Residential SF + MF (Scope 1)</t>
  </si>
  <si>
    <t>All Buildings (Scope 2)</t>
  </si>
  <si>
    <t>Single-Family (Scope 1+2)</t>
  </si>
  <si>
    <t>Multifamily (Scope 1+2)</t>
  </si>
  <si>
    <t>Commercial (Scope 1+2)</t>
  </si>
  <si>
    <t>All Buildings (Scope 1+2)</t>
  </si>
  <si>
    <t>Off-Road (Diesel only)</t>
  </si>
  <si>
    <t>Waste total emissions</t>
  </si>
  <si>
    <t>Wastewater emissions</t>
  </si>
  <si>
    <t>Input 1</t>
  </si>
  <si>
    <t>Input 2</t>
  </si>
  <si>
    <t>Number of multifamily buildings</t>
  </si>
  <si>
    <t>Number of commercial buildings</t>
  </si>
  <si>
    <t>Number of SingleFamily Buildings</t>
  </si>
  <si>
    <t>Annual Production (MWh/home)</t>
  </si>
  <si>
    <t>MWh saved</t>
  </si>
  <si>
    <t>Reduction in GHG Emissions (tonnes CO2e)</t>
  </si>
  <si>
    <t>% Reduction in GHG Emissions from Sector</t>
  </si>
  <si>
    <t>Geothermal Single Family Buildings</t>
  </si>
  <si>
    <t>% Reduction in GHG Emissions Overall</t>
  </si>
  <si>
    <t>kWh/mi</t>
  </si>
  <si>
    <t>Current Tribe:</t>
  </si>
  <si>
    <t>Measure Assumptions &amp; Notes</t>
  </si>
  <si>
    <t>Equivalent lbs CO2e Saved</t>
  </si>
  <si>
    <t>Tonnes CO2e Saved</t>
  </si>
  <si>
    <t>Grid Emissions Factor (lb CO2e/MWh)</t>
  </si>
  <si>
    <t>Grid Emissions Factor (lbCO2e/MWh)</t>
  </si>
  <si>
    <t>Residential SF Wind Turbines</t>
  </si>
  <si>
    <t xml:space="preserve">System Size (kW) </t>
  </si>
  <si>
    <t>Input 1 - small wind turbine size (kW)</t>
  </si>
  <si>
    <t>Annual Production (kWh/home)</t>
  </si>
  <si>
    <t>Residential MF Wind Turbines</t>
  </si>
  <si>
    <t>Emissions from Electricity Use (tonnes CO2e)</t>
  </si>
  <si>
    <t>Gallons of Diesel Converted to Electricity (gal)</t>
  </si>
  <si>
    <t>VMT (mi)</t>
  </si>
  <si>
    <t>Electricity Use (MWh)</t>
  </si>
  <si>
    <t>Electricity Use (kWh)</t>
  </si>
  <si>
    <t>Total Emissions with GHG Reduction Measure (tonnes CO2e)</t>
  </si>
  <si>
    <t>Total Reduction of Emissions (tonnes CO2e)</t>
  </si>
  <si>
    <t>Baseline Use - Gallons of On-Road Gasoline (gal)</t>
  </si>
  <si>
    <t>Baseline Use - Gallons of On-Road Diesel (gal)</t>
  </si>
  <si>
    <t>Gallons of Gasoline Converted to Electricity (gal)</t>
  </si>
  <si>
    <t>On-Road Diesel Only (gal)</t>
  </si>
  <si>
    <t>Fleet MPG (mi/gal)</t>
  </si>
  <si>
    <t>SOV MPG (mi/gal)</t>
  </si>
  <si>
    <t>% GHG Reduction Potential</t>
  </si>
  <si>
    <t>Baseline Emissions (tonnes CO2e)</t>
  </si>
  <si>
    <t xml:space="preserve">extra columns </t>
  </si>
  <si>
    <t>On-Road Gasoline Only (gal)</t>
  </si>
  <si>
    <t>Commercial Wind Turbines</t>
  </si>
  <si>
    <t>On-site PV (single family buildings)</t>
  </si>
  <si>
    <t>Renewable Energy</t>
  </si>
  <si>
    <t>Building Retrofits</t>
  </si>
  <si>
    <t>State</t>
  </si>
  <si>
    <t>Upgrade (2017)</t>
  </si>
  <si>
    <t>Energy Resilience</t>
  </si>
  <si>
    <t>number of housing units</t>
  </si>
  <si>
    <t>Insulation + Air Sealing Electricity Savings (GWh) per house</t>
  </si>
  <si>
    <t>Insulation + Air Sealing Fuel Savings (tBtu) per house</t>
  </si>
  <si>
    <t>Insulation + Air Sealing Electricity Savings (MWh) per house</t>
  </si>
  <si>
    <t>Insulation + Air Sealing Fuel Savings (MWh) per house</t>
  </si>
  <si>
    <t>Equivalent lbs CO2e Saved per house</t>
  </si>
  <si>
    <t>Tonnes CO2e Saved per house</t>
  </si>
  <si>
    <t>Implement low-emissions land-use planning techniques</t>
  </si>
  <si>
    <t>LED Electricity Savings (GWh) per house</t>
  </si>
  <si>
    <t>LED Electricity Savings (MWh) per house</t>
  </si>
  <si>
    <t>Commercial Energy Efficiency</t>
  </si>
  <si>
    <t>Residential + Multifamily Scope (Scope 2)</t>
  </si>
  <si>
    <t>upgrade_to_led_interior_lighting</t>
  </si>
  <si>
    <t>upgrade_wall_insulation_r_30</t>
  </si>
  <si>
    <t>upgrade_roof_insulation_r_30</t>
  </si>
  <si>
    <t>upgrade_rtu_dx_air_conditioner</t>
  </si>
  <si>
    <t>upgrade_outdoor_lights</t>
  </si>
  <si>
    <t>upgrade_boiler_afue_94</t>
  </si>
  <si>
    <t>add_window_film</t>
  </si>
  <si>
    <t>add_heat_recovery</t>
  </si>
  <si>
    <t>add_cool_roof</t>
  </si>
  <si>
    <t>add_advanced_hybrid_rtus</t>
  </si>
  <si>
    <t>Number of Buildings</t>
  </si>
  <si>
    <t>Input 1 - Number of Commercial Buildings</t>
  </si>
  <si>
    <t>Upgrade Electricity Savings - %</t>
  </si>
  <si>
    <t>Upgrade Fuel Savings - %</t>
  </si>
  <si>
    <t>CO2 Sequestration (tonnes/yr)</t>
  </si>
  <si>
    <t>Commercial Scope 1 emissions /building</t>
  </si>
  <si>
    <t>Commercial Scope 2 emissions /buildings</t>
  </si>
  <si>
    <t>Commercial Scope 1+2 emissions /buildings</t>
  </si>
  <si>
    <t>Total Emissions (tonnes CO2e)</t>
  </si>
  <si>
    <t>Scope 2 Emissions (tonnes CO2e) / building</t>
  </si>
  <si>
    <t>Scope 1+2 Emissions (tonnes CO2e) / building</t>
  </si>
  <si>
    <t>% Electricity Savings from LED Lighting Ext &amp; Interior</t>
  </si>
  <si>
    <t>Scope 1 Emissions (tonnes CO2e) / building</t>
  </si>
  <si>
    <t>% Fuel Savings from Weatherization</t>
  </si>
  <si>
    <t>% Electricity Savings from High Efficiency Appliances</t>
  </si>
  <si>
    <t xml:space="preserve">System Size (MW) </t>
  </si>
  <si>
    <t># of microgrids</t>
  </si>
  <si>
    <t>kWh/year production</t>
  </si>
  <si>
    <t>MWh/year production</t>
  </si>
  <si>
    <t>Residential Scope 1+2 Emissions (tonnes CO2e) / building</t>
  </si>
  <si>
    <t>Commercial Scope 1+2 Emissions (tonnes CO2e) / building</t>
  </si>
  <si>
    <t>% Savings from High Efficiency Appliances</t>
  </si>
  <si>
    <t>Total Nat Gas (therms)</t>
  </si>
  <si>
    <t>Total Fuel Oil (gallons)</t>
  </si>
  <si>
    <t>Total Propane (gallons)</t>
  </si>
  <si>
    <t>Total Wood (cords)</t>
  </si>
  <si>
    <t>Efficiency</t>
  </si>
  <si>
    <t>Tribal Amounts</t>
  </si>
  <si>
    <t>Electrify (source units)</t>
  </si>
  <si>
    <t>Electrify (kWh)</t>
  </si>
  <si>
    <t xml:space="preserve">Percent Reduction </t>
  </si>
  <si>
    <t>Average % Reduction</t>
  </si>
  <si>
    <t>Increase Building Efficiency (Commercial)</t>
  </si>
  <si>
    <t>Emissions from Water Heating (15%)</t>
  </si>
  <si>
    <t xml:space="preserve">Reference Carbon Stock </t>
  </si>
  <si>
    <t>Carbon Sequestered (MT CO2e)</t>
  </si>
  <si>
    <t>Reduction Measure</t>
  </si>
  <si>
    <t>Wastewater emissions / building</t>
  </si>
  <si>
    <t>Land use factor (warm temp dry climate)</t>
  </si>
  <si>
    <t>Wastewater Emissions (tonnes CO2e) / building</t>
  </si>
  <si>
    <t>% Hot water savings for WaterSense showers and faucets  (20%)</t>
  </si>
  <si>
    <t>Install On-site PV (Single-family)</t>
  </si>
  <si>
    <t>Install On-site PV (Multifamily)</t>
  </si>
  <si>
    <t>Install On-site PV (Commercial)</t>
  </si>
  <si>
    <t>Install Small Wind Turbines (Single-family)</t>
  </si>
  <si>
    <t>Install Small Wind Turbines (Multifamily)</t>
  </si>
  <si>
    <t>Install Small Wind Turbines (Commercial)</t>
  </si>
  <si>
    <t>Install Geothermal Heat Pump (Single-family)</t>
  </si>
  <si>
    <t>Install Geothermal Heat Pump (Multifamily)</t>
  </si>
  <si>
    <t>Install Geothermal Heat Pump (Commercial)</t>
  </si>
  <si>
    <t>Increase Building Efficiency 
(Single Family and Multifamily)</t>
  </si>
  <si>
    <t>Increase Building Efficiency
 (All Buildings)</t>
  </si>
  <si>
    <t>Install Rooftop PV</t>
  </si>
  <si>
    <t>Install Distributed Wind</t>
  </si>
  <si>
    <t>Install Geothermal Heat Pumps</t>
  </si>
  <si>
    <t>Weatherization of Commercial Buildings 
(roof &amp; wall insulation, window film)</t>
  </si>
  <si>
    <t>Electrify Bus Fleet 
(School, transit, any on-road diesel)</t>
  </si>
  <si>
    <t>Influence EV Adoption
(Implementing Policy, Rebates, EV Charging)</t>
  </si>
  <si>
    <t xml:space="preserve">Grassland Improvement factor </t>
  </si>
  <si>
    <t>Grassland managemenet factor (degraded)</t>
  </si>
  <si>
    <t>Number of Single Family Homes:</t>
  </si>
  <si>
    <t>Number of Multifamily Buildings:</t>
  </si>
  <si>
    <t>Number of Commercial Buildings:</t>
  </si>
  <si>
    <t>Input 1 - Number of MF Buildings</t>
  </si>
  <si>
    <t>Input 1 - Number of Single Family Buildings</t>
  </si>
  <si>
    <t>Conversion from acres to hectares</t>
  </si>
  <si>
    <t>Percent of On-Road Diesel Vehicles (Buses, trucks, etc.) to Electrify:</t>
  </si>
  <si>
    <t>Area restored from farmland to grassland (acres)</t>
  </si>
  <si>
    <t>Molecular weight CO2e to CO2</t>
  </si>
  <si>
    <t>Percent mode shift to biking/walking instead of driving:</t>
  </si>
  <si>
    <t>Percent mode shift to bus instead of driving:</t>
  </si>
  <si>
    <t>Percent mode shift to carpool over driving:</t>
  </si>
  <si>
    <t>Input Fields
(to be filled out by Tribes)</t>
  </si>
  <si>
    <t>Number of Microgrids:</t>
  </si>
  <si>
    <t>Number of Wind Farms</t>
  </si>
  <si>
    <t>Utility Scale Wind Turbines</t>
  </si>
  <si>
    <t>Calculated GHG Emissions Reduction for Tribes</t>
  </si>
  <si>
    <t>Annual Production (MWh)</t>
  </si>
  <si>
    <t xml:space="preserve">Grid Emissions Factor: </t>
  </si>
  <si>
    <t>SOURCES/RAW DATA</t>
  </si>
  <si>
    <t>UNUSED DATA/CALCS</t>
  </si>
  <si>
    <t>Annual Production (MWh/building)</t>
  </si>
  <si>
    <t>Annual hours</t>
  </si>
  <si>
    <t>Number of PV Arrays</t>
  </si>
  <si>
    <t>System Size (kW):</t>
  </si>
  <si>
    <t>Turbine Size (kW):</t>
  </si>
  <si>
    <t>Size of Solar PV System (MW):</t>
  </si>
  <si>
    <t>Instructions:</t>
  </si>
  <si>
    <t>HIDE</t>
  </si>
  <si>
    <t xml:space="preserve">  Legend</t>
  </si>
  <si>
    <t>CPRG MEASURE GHG REDUCTION TOOL</t>
  </si>
  <si>
    <t>Key Tribe Data 
(for reference)</t>
  </si>
  <si>
    <t>Assumption that a geothermal heat pump saves 80% of heating fuel use</t>
  </si>
  <si>
    <t>Includes window film and R-30 wall and roof insulation</t>
  </si>
  <si>
    <t>Typically 50 acres of space are needed per MW of wind</t>
  </si>
  <si>
    <t>Install WaterSense faucets and showerheads to reduce flow rates and therefore energy used for hot water.</t>
  </si>
  <si>
    <t>Accounts for increase in heating due to more efficient lighting</t>
  </si>
  <si>
    <t>Assumes air sealing the whole house, including attic, basement, windows, doors, and walls, and insulating basement and attic</t>
  </si>
  <si>
    <t>Savings low due to increased heating energy to compensate for reduced heat from more efficient lighting</t>
  </si>
  <si>
    <t>Weatherization of Residential Buildings (insulation, window film, &amp; air sealing)</t>
  </si>
  <si>
    <t>Weatherization of Homes
(insulation, window film, &amp; air sealing)</t>
  </si>
  <si>
    <t>Use this tool to specify your Tribe's GHG Reduction Measures and estimate emissions reductions</t>
  </si>
  <si>
    <t>Number of shade trees planted:</t>
  </si>
  <si>
    <t>Assumption that green building codes save 15% vs.conventional renovations</t>
  </si>
  <si>
    <t>Area restored from moderately degraded grassland (acres)</t>
  </si>
  <si>
    <t>50% adoption recommended, as there are additional electric bus funding opportunities available to complement CPRG funding</t>
  </si>
  <si>
    <t>May be a low adoption rate (~20%) depending on presence of highly traveled routes and feasibility of implementing / expanding bus system</t>
  </si>
  <si>
    <t>Could include micro-transit / on-demand ride-share.</t>
  </si>
  <si>
    <t>Install Low-Flow Toilets (Wastewater)</t>
  </si>
  <si>
    <t>Number of Buildings w/Toilet Retrofits:</t>
  </si>
  <si>
    <t>Installing WaterSense low-flow toilets reduce flow by an average of 20% from federal standard</t>
  </si>
  <si>
    <t>Total emissions (tonnes CO2e)</t>
  </si>
  <si>
    <t>Percent of Overall</t>
  </si>
  <si>
    <t>Waterborne Emissions</t>
  </si>
  <si>
    <t>Buildings Emissions</t>
  </si>
  <si>
    <t>Transportation Emissions (Scope 1)</t>
  </si>
  <si>
    <t>Other Emissions (Scope 1)</t>
  </si>
  <si>
    <t>Off-road (Gasoline only)</t>
  </si>
  <si>
    <t>Agriculture</t>
  </si>
  <si>
    <t xml:space="preserve">Agriculture </t>
  </si>
  <si>
    <t>Carbon Sequestration - Tree Planting</t>
  </si>
  <si>
    <t xml:space="preserve">GHG Equivalencies </t>
  </si>
  <si>
    <t>Gasoline-Powered Passenger Vehicles</t>
  </si>
  <si>
    <t>MT CO2e/vehicle/year</t>
  </si>
  <si>
    <t>MT CO2e/mile</t>
  </si>
  <si>
    <t>(calculation source)</t>
  </si>
  <si>
    <t>Miles Driven by Average Gasoline-Powered Vehicle</t>
  </si>
  <si>
    <t>Homes' Energy Use for One Year</t>
  </si>
  <si>
    <t>MT CO2e/home/year</t>
  </si>
  <si>
    <t>Gallons of Gasoline</t>
  </si>
  <si>
    <t>Gallons of Diesel</t>
  </si>
  <si>
    <t>MT CO2e/gallons gasoline</t>
  </si>
  <si>
    <t>MT CO2e/gallons diesel</t>
  </si>
  <si>
    <t>Avoided Emissions from Recyling Waste instead of Landfilling</t>
  </si>
  <si>
    <t>MT CO2e/ton of waste recycled instead of landfilled</t>
  </si>
  <si>
    <t>Number of Wind Turbines Running Annually</t>
  </si>
  <si>
    <t>MTCO2e/year/wind turbine installed</t>
  </si>
  <si>
    <t>Source: EPA GHG Equivalencies Calculator Calculations &amp; References</t>
  </si>
  <si>
    <t>battery size</t>
  </si>
  <si>
    <t>hours</t>
  </si>
  <si>
    <t>assume some number of times/year</t>
  </si>
  <si>
    <t>difference of utility mix</t>
  </si>
  <si>
    <t>no bttery, at night, they are using electricity</t>
  </si>
  <si>
    <t>compare to grid to off hours</t>
  </si>
  <si>
    <t>sun hours only 4 on average</t>
  </si>
  <si>
    <t>scaling grid emissions against battery stroage</t>
  </si>
  <si>
    <t xml:space="preserve">if they could time of use data and use battery when they know the grid is at its dirtiest, </t>
  </si>
  <si>
    <t>baseline is regional grid emissions</t>
  </si>
  <si>
    <t>egrid</t>
  </si>
  <si>
    <t>EPA</t>
  </si>
  <si>
    <t>scale utility mix</t>
  </si>
  <si>
    <t>assume way they use battery storage other than shock / stressor - normal use case uses batteries to reduce real time 24/7 grid emissions</t>
  </si>
  <si>
    <t>add top - egrid vs. utility grid mix in +/` way</t>
  </si>
  <si>
    <t>Other</t>
  </si>
  <si>
    <t xml:space="preserve"> Single Family</t>
  </si>
  <si>
    <t xml:space="preserve"> Multifamily</t>
  </si>
  <si>
    <t xml:space="preserve"> Commercial</t>
  </si>
  <si>
    <t xml:space="preserve"> On-Road</t>
  </si>
  <si>
    <t xml:space="preserve"> Waterborne</t>
  </si>
  <si>
    <t xml:space="preserve"> Off-Road</t>
  </si>
  <si>
    <t xml:space="preserve"> Waste, Agriculture, etc.</t>
  </si>
  <si>
    <t>Utility Emissions Factor (lb CO2e/MWh)</t>
  </si>
  <si>
    <t xml:space="preserve">Utility Emissions Factor: </t>
  </si>
  <si>
    <t>Utility Emissions Factor (lbCO2e/MWh)</t>
  </si>
  <si>
    <t>Annual MWh</t>
  </si>
  <si>
    <t>Small - Mature height below 3ft (1m) - 18” spacing</t>
  </si>
  <si>
    <t>Medium - Mature height 3-6ft (1-2m) - 24” spacing</t>
  </si>
  <si>
    <t>Large - Mature height above 6ft (2m) - 36” spacing</t>
  </si>
  <si>
    <t>Large - Mature height above 50ft (15m)</t>
  </si>
  <si>
    <t>Size of BESS (kWh):</t>
  </si>
  <si>
    <t>Carbon Sequestration - Plant Restoration (grass and shrubs)</t>
  </si>
  <si>
    <t>Carbon Sequestration - Plant Restoration</t>
  </si>
  <si>
    <t>Plant Type</t>
  </si>
  <si>
    <t>Deciduous Small Shrubs</t>
  </si>
  <si>
    <t>Perennial Grasses</t>
  </si>
  <si>
    <t>Deciduous Medium Shrubs</t>
  </si>
  <si>
    <t>Deciduous Large Shrubs</t>
  </si>
  <si>
    <t>Evergreen Small Shrubs</t>
  </si>
  <si>
    <t>Evergreen Medium Shrubs</t>
  </si>
  <si>
    <t>Evergreen Large Shrubs</t>
  </si>
  <si>
    <t>Average Annual Sequestration Potential (kg CO2e/unit) (Northern region*)</t>
  </si>
  <si>
    <t>*Northen Region Source - Climate Positive Methodology Document</t>
  </si>
  <si>
    <t>Deciduous Small Trees</t>
  </si>
  <si>
    <t>Deciduous Large Trees</t>
  </si>
  <si>
    <t>Evergeen Small Trees</t>
  </si>
  <si>
    <t>Evergreen Large Trees</t>
  </si>
  <si>
    <t>Notes</t>
  </si>
  <si>
    <t xml:space="preserve">
 </t>
  </si>
  <si>
    <t>Small - Mature height below 35ft (10m)</t>
  </si>
  <si>
    <t>by m2 as unit</t>
  </si>
  <si>
    <t>Input 1 - # of Trees</t>
  </si>
  <si>
    <t xml:space="preserve">Input 1 - sf of Grass </t>
  </si>
  <si>
    <t xml:space="preserve">ARCHIVE - for reference, grassland restoration </t>
  </si>
  <si>
    <t>ARCHIVE - for reference, tree sequestration</t>
  </si>
  <si>
    <t>Tree Sequestration Potential (kg CO2e/unit)</t>
  </si>
  <si>
    <t>Tree Sequestration Potential (MT CO2e/unit)</t>
  </si>
  <si>
    <t>Input 2 - # of Shrubs</t>
  </si>
  <si>
    <t>Area of Perennial Grass Planted (sf):</t>
  </si>
  <si>
    <t>Number of Shrubs:</t>
  </si>
  <si>
    <t>Wetland Average Annual kg CO2e/m2</t>
  </si>
  <si>
    <t>Wetland Sequestration Potential (kg CO2e/m2)</t>
  </si>
  <si>
    <t>Utility Avoided grid emissions (tonnes CO2e)</t>
  </si>
  <si>
    <t>Solar+Storage (tonnes CO2e)</t>
  </si>
  <si>
    <t>Area in m2</t>
  </si>
  <si>
    <t>Grass Sequestration Potential (MT CO2e/m2)</t>
  </si>
  <si>
    <t>Shrub Sequestration Potential (MT CO2e/unit)</t>
  </si>
  <si>
    <t>&lt;-check formula and decide which one to use: grass or wetland!</t>
  </si>
  <si>
    <t>Perennial Grass Average Annual kg CO2e/m2</t>
  </si>
  <si>
    <t>Grass CO2e Sequestration (tonnes/yr)</t>
  </si>
  <si>
    <t>Shrub CO2e Sequestration (tonnes/yr)</t>
  </si>
  <si>
    <t>Perennial Grass Sequestration Potential (kg CO2e/m2)</t>
  </si>
  <si>
    <t>Input 1 - sf of bioswales</t>
  </si>
  <si>
    <t>Bioswales</t>
  </si>
  <si>
    <t>m2/sf</t>
  </si>
  <si>
    <t>Total Plant Restoration Sequestration (tonnes CO2e/year)</t>
  </si>
  <si>
    <t>Reduction in VMT</t>
  </si>
  <si>
    <t xml:space="preserve"> Climate Positive Design Tool - Sequestration Values</t>
  </si>
  <si>
    <t>Zoning - change from rural density to low-density suburban</t>
  </si>
  <si>
    <t>Amount of CO2 sequestration from Perennial Grasses used for bioswales</t>
  </si>
  <si>
    <t>Reduction in CO2 (tonnes CO2e)</t>
  </si>
  <si>
    <t>metric tons CO2/railcar</t>
  </si>
  <si>
    <t>Railcars of coal burned</t>
  </si>
  <si>
    <t>Input Value (acres)</t>
  </si>
  <si>
    <t>taken from tool</t>
  </si>
  <si>
    <t>% of population affected by responsible development</t>
  </si>
  <si>
    <t>Amount of annual CO2 sequestration from planting a 50-50 mixture of decidious and evergreen trees</t>
  </si>
  <si>
    <t>Amount of annual CO2 sequestration from planting perennial grass and shrubs (average between decidious and evergreen shrubs of small, medium, and large sizes)</t>
  </si>
  <si>
    <t>Area of Bioswales (sf):
[Ref: one parking spot is 800 sf]</t>
  </si>
  <si>
    <t>% of On-Road Gasoline Vehicles (cars, vans, etc.) to Electrify:</t>
  </si>
  <si>
    <t>Number of Solar Farms</t>
  </si>
  <si>
    <t>Size of Wind Farm (MW):</t>
  </si>
  <si>
    <t>Size of Solar Farm (MW):</t>
  </si>
  <si>
    <t>Implement Community-Scale Renewables</t>
  </si>
  <si>
    <t>Install Battery Energy Storage Systems (BESS) in commercial buildings</t>
  </si>
  <si>
    <t>Green Infrastructure: Bio-Retention Pond, Bioswales</t>
  </si>
  <si>
    <t>Gasoline-Powered Passenger Vehicles for One Year</t>
  </si>
  <si>
    <t>a</t>
  </si>
  <si>
    <t>eGrid Emissions Factor (lbCO2e/MWh)</t>
  </si>
  <si>
    <t xml:space="preserve">Implement community-scale renewables. </t>
  </si>
  <si>
    <t>Implement Responsible Development  / Zoning Policy</t>
  </si>
  <si>
    <t>Renewable Energy Development</t>
  </si>
  <si>
    <t>Building Retrofits &amp; Energy Conservation Measures</t>
  </si>
  <si>
    <t>Install weatherization - insulation &amp; weatherstripping</t>
  </si>
  <si>
    <t>Install smart thermostats</t>
  </si>
  <si>
    <t>Adopt green building standards for major renovations</t>
  </si>
  <si>
    <t>Mode-shift</t>
  </si>
  <si>
    <t>Influence ride sharing</t>
  </si>
  <si>
    <t>ENVIRONMENTAL MANAGEMENT &amp;  PLANNING TECHNIQUES</t>
  </si>
  <si>
    <t>Sequester carbon through plants</t>
  </si>
  <si>
    <t>Develop green infrastructure</t>
  </si>
  <si>
    <t>BASELINE EMISSIONS</t>
  </si>
  <si>
    <t>eGRID TOU Emissions Factor Benefit</t>
  </si>
  <si>
    <t>Avoided tonnes CO2e from battery storage*</t>
  </si>
  <si>
    <t>Total MWh solar electricity</t>
  </si>
  <si>
    <t>Total Battery size (MWh) / delivered energy annually</t>
  </si>
  <si>
    <t>Emissions reductions due to reduced driving distances from denser housing &amp; increased proximity to commercial spaces. Assumes zoning from rural density to low-density suburban</t>
  </si>
  <si>
    <t>STRATEGY</t>
  </si>
  <si>
    <t>REDUCTION MEASURE</t>
  </si>
  <si>
    <t>Retrofit interior lighting to LEDs</t>
  </si>
  <si>
    <t>eGRID Emissions Factor</t>
  </si>
  <si>
    <t>75% MROW and 25% RFCW</t>
  </si>
  <si>
    <t>Hydropower</t>
  </si>
  <si>
    <t>DOE defines large hydropower as &gt;30 MW</t>
  </si>
  <si>
    <t>Small hydropower 100 kw - 30 MW</t>
  </si>
  <si>
    <t>Microhydropower &lt;100 kw</t>
  </si>
  <si>
    <t>DOE Hydropower</t>
  </si>
  <si>
    <t>Implement Utility-Scale Renewables</t>
  </si>
  <si>
    <t>Install Small Hydropower (100 kW - 30 MW)</t>
  </si>
  <si>
    <t>Install Utility-Scale Solar (&gt;20 MW)</t>
  </si>
  <si>
    <t>Install Community-Scale Solar (500 kW - 20 MW)</t>
  </si>
  <si>
    <t>Update to include with renewables - replicate solar microgrid methodology</t>
  </si>
  <si>
    <t xml:space="preserve">Solar Microgrids </t>
  </si>
  <si>
    <t>EPA guidance on propane / natural gas buses</t>
  </si>
  <si>
    <t>hydrogen</t>
  </si>
  <si>
    <t>biofuels - ethanol vs. others (look at Nox)</t>
  </si>
  <si>
    <t>dropdown of these three</t>
  </si>
  <si>
    <t>TOTAL</t>
  </si>
  <si>
    <t>POPULATION</t>
  </si>
  <si>
    <t>AVERAGE</t>
  </si>
  <si>
    <t>SCALING FACTOR</t>
  </si>
  <si>
    <t>total ghg emissions for all tribes</t>
  </si>
  <si>
    <t xml:space="preserve">     </t>
  </si>
  <si>
    <t>weatherization emissions reduction</t>
  </si>
  <si>
    <t>All led interior and exterior</t>
  </si>
  <si>
    <t>smart thermostat</t>
  </si>
  <si>
    <t>Green building standards</t>
  </si>
  <si>
    <t>high efficiency appliances, low-flow fixtures</t>
  </si>
  <si>
    <t>electrification?</t>
  </si>
  <si>
    <t>Input 2 - Number of commercial buildings</t>
  </si>
  <si>
    <t>Residential Scope 1 Emissions (tonnes CO2e) / building</t>
  </si>
  <si>
    <t>Commercial Scope 1 Emissions (tonnes CO2e) / building</t>
  </si>
  <si>
    <t>(for all tribes)</t>
  </si>
  <si>
    <t>Baseline Energy Use (kWh)</t>
  </si>
  <si>
    <t>Capacity Factor</t>
  </si>
  <si>
    <t>EIA Hydropower Capacity Factor 2022</t>
  </si>
  <si>
    <t>Size of Hydropower System (MW):</t>
  </si>
  <si>
    <t>Number of Hydroelectric Systems</t>
  </si>
  <si>
    <t>Size of Utility-Scale Wind Farm (MW)</t>
  </si>
  <si>
    <t>Size of Utility-Scale Solar Farm (MW):</t>
  </si>
  <si>
    <t>Input 2 - Number of hydroelectric systems</t>
  </si>
  <si>
    <t>Annual MWh generation</t>
  </si>
  <si>
    <t>EIA Wind Capacity Factor</t>
  </si>
  <si>
    <t>Equivalent lbs CO2e:</t>
  </si>
  <si>
    <t>Equivalent tonnes CO2e</t>
  </si>
  <si>
    <t>Input 1 - Size of Solar Farm (MW)</t>
  </si>
  <si>
    <t>Install Community-Scale Wind (500 kW - 20 MW)</t>
  </si>
  <si>
    <t>Install Utility-Scale Wind Turbines (&gt;20 MW)</t>
  </si>
  <si>
    <t>Input 1: % Adoption</t>
  </si>
  <si>
    <t>Percent of On-Road Diesel Vehicles (Buses, trucks, etc.) to Replace:</t>
  </si>
  <si>
    <t>Replace Diesel-burning vehicles with alternative fuels</t>
  </si>
  <si>
    <t>Alternative Fuel</t>
  </si>
  <si>
    <t>Gallons of Diesel Converted to Alternative Fuel (gal)</t>
  </si>
  <si>
    <t>Emissions saved from Diesel Engines (tonnes CO2e)</t>
  </si>
  <si>
    <t>Emissions from alternative fuel (tonnes CO2e)</t>
  </si>
  <si>
    <t xml:space="preserve">1 gallon Diesel = </t>
  </si>
  <si>
    <t>GGE</t>
  </si>
  <si>
    <t xml:space="preserve">1 scf CNG = </t>
  </si>
  <si>
    <t>hcf CNG</t>
  </si>
  <si>
    <t xml:space="preserve">1 hcf CNG = </t>
  </si>
  <si>
    <t>inverse</t>
  </si>
  <si>
    <t>Emissions saved after conversion (tonnes CO2e)</t>
  </si>
  <si>
    <t>Source:</t>
  </si>
  <si>
    <t>SCOPE 2 ONLY</t>
  </si>
  <si>
    <t>SCOPE 1 ONLY</t>
  </si>
  <si>
    <t>SCOPE 1+2</t>
  </si>
  <si>
    <t>Residential</t>
  </si>
  <si>
    <t>Single-Family</t>
  </si>
  <si>
    <t xml:space="preserve">Multifamily </t>
  </si>
  <si>
    <t xml:space="preserve">On-road </t>
  </si>
  <si>
    <t>Off-road</t>
  </si>
  <si>
    <t>Wastewater</t>
  </si>
  <si>
    <t>Electrify bus fleet &amp; provide charging infrastructure, or hydrogen fuel cell buses</t>
  </si>
  <si>
    <t>Assumes 100% of buses transition to low emission fuel.</t>
  </si>
  <si>
    <t xml:space="preserve">Electrify SOV vehicles &amp; provide charging infrastructure / hydrogen fuel cells </t>
  </si>
  <si>
    <t>60% of commercial buildings (765) install a 50kW solar array,</t>
  </si>
  <si>
    <t>DETAILED IMPLEMENTATION VALUES</t>
  </si>
  <si>
    <t>Total SF Homes</t>
  </si>
  <si>
    <t>Implement responsible development &amp; zoning policies</t>
  </si>
  <si>
    <t>Total Residential</t>
  </si>
  <si>
    <t>Total Commercial</t>
  </si>
  <si>
    <t>MF homes planned</t>
  </si>
  <si>
    <t>SF homes planned</t>
  </si>
  <si>
    <t>Residential planned</t>
  </si>
  <si>
    <t>Commercial planned</t>
  </si>
  <si>
    <t>Total Buildings</t>
  </si>
  <si>
    <t>Buildings planned</t>
  </si>
  <si>
    <t>Tonnes CO2e reduced</t>
  </si>
  <si>
    <t>Percent Total Reduction</t>
  </si>
  <si>
    <t>TOTAL GHG EMISSIONS</t>
  </si>
  <si>
    <t>using background calcs tabs</t>
  </si>
  <si>
    <t>SOVS planned</t>
  </si>
  <si>
    <t>Buses planned</t>
  </si>
  <si>
    <t>Total Population</t>
  </si>
  <si>
    <t>Population Planned</t>
  </si>
  <si>
    <t>Scope 1 Emissions / building</t>
  </si>
  <si>
    <t>% Energy savings from geothermal</t>
  </si>
  <si>
    <t>60% of homes &amp; MF buildings install low-flow fixtures</t>
  </si>
  <si>
    <t>15% of buildings undergo major renovation projects that adopt state Green Building Standards</t>
  </si>
  <si>
    <t>% Electricity Savings from Weatherization</t>
  </si>
  <si>
    <t>100% of interior &amp; exterior lighting of all buildings to LEDs</t>
  </si>
  <si>
    <t>% of solar generation used to charge battery and discharge during dirtiest grid TOU</t>
  </si>
  <si>
    <t>Assume that controls installed to optimize microgrid to emissions reductions</t>
  </si>
  <si>
    <t>Develop clean energy microgrids with battery storage (large multi-bldgs)</t>
  </si>
  <si>
    <t>Install building-level solar and storage systems</t>
  </si>
  <si>
    <t>Size of Solar PV System (kW):</t>
  </si>
  <si>
    <t>Number of Solar + Storage systems:</t>
  </si>
  <si>
    <t>Building Level Solar + BESS (&lt;1MW)</t>
  </si>
  <si>
    <t>MEASURE DESCRIPTION</t>
  </si>
  <si>
    <t>Michigan</t>
  </si>
  <si>
    <t>Input 1 - Size of Wind Farm (MW) (dropdown menu)</t>
  </si>
  <si>
    <t>old emissions based on ALL residential/commercial buildings in all tribes</t>
  </si>
  <si>
    <t>Input 1 - Size of Hydroelectric Generation (MW) dropdown menu</t>
  </si>
  <si>
    <t>Community Scale Wind Turbines</t>
  </si>
  <si>
    <t>Additional Electricity Needed (TBtu/house)</t>
  </si>
  <si>
    <t>Additional Electricity Needed (MWh/house)</t>
  </si>
  <si>
    <t>Total Net Electricty Savings (MWh/house)</t>
  </si>
  <si>
    <t xml:space="preserve">Alt source: National Avg </t>
  </si>
  <si>
    <t>Community Scale Solar</t>
  </si>
  <si>
    <t>Utility Scale Solar</t>
  </si>
  <si>
    <t>r-60_attic_ins.</t>
  </si>
  <si>
    <t>Appliance</t>
  </si>
  <si>
    <t>Energy Savings from Higher Efficiency</t>
  </si>
  <si>
    <t>AVERAGE (propane, CNG, LNG, Biodiesel)</t>
  </si>
  <si>
    <t>SOV - electric or low emission vehicles</t>
  </si>
  <si>
    <t>Portion of Residential Scope 2 End Use</t>
  </si>
  <si>
    <t>Dishwasher</t>
  </si>
  <si>
    <t>**Supporting Calcs for High Efficiency Appliances</t>
  </si>
  <si>
    <t>Refrigerator</t>
  </si>
  <si>
    <t>Washer</t>
  </si>
  <si>
    <t>Dryer</t>
  </si>
  <si>
    <t>Air Conditioning</t>
  </si>
  <si>
    <t>Scope 1 Total Emissions (tonnes CO2e)</t>
  </si>
  <si>
    <t>Scope 2 Total Emissions (tonnes CO2e)</t>
  </si>
  <si>
    <t>Total Efficiency Savings</t>
  </si>
  <si>
    <t>Avg Grid Em Factor</t>
  </si>
  <si>
    <t>Install High Efficiency Appliances** (see calcs below)</t>
  </si>
  <si>
    <t xml:space="preserve">Energy Savings </t>
  </si>
  <si>
    <t>Portion of Residential End Use</t>
  </si>
  <si>
    <t>Implement utility-scale renewables</t>
  </si>
  <si>
    <t>Upgrade Fuel Savings - tbtu/year</t>
  </si>
  <si>
    <t>Upgrade Electricity Savings - GWh/year</t>
  </si>
  <si>
    <t>Assumes replacement of AC units, dishwashers, refrigerators, and clothes washers/dryers to higher efficiency equipment, such as ENERGY STAR certified appliances</t>
  </si>
  <si>
    <t>Option 2 (not used)</t>
  </si>
  <si>
    <t>Annual Production (kWh/building)</t>
  </si>
  <si>
    <t>Estimated Reduction Potential</t>
  </si>
  <si>
    <t>TOTAL POTENTIAL GHG REDUCTION ACROSS ALL TRIBES</t>
  </si>
  <si>
    <t xml:space="preserve">60% of residential buildings and homes upgrade appliances (air conditioning, dishwashers, refrigerators, and clothes washers/dryers) </t>
  </si>
  <si>
    <t>Install high-efficiency appliances, low-flow fixtures for homes &amp; residences</t>
  </si>
  <si>
    <t>Duluth MN</t>
  </si>
  <si>
    <t>Wasau WI</t>
  </si>
  <si>
    <t>kWh/yr/home</t>
  </si>
  <si>
    <t>avg kWh/year</t>
  </si>
  <si>
    <t>average</t>
  </si>
  <si>
    <t>MWh/year</t>
  </si>
  <si>
    <t>avg kwh/yr)</t>
  </si>
  <si>
    <t>MWh/yr</t>
  </si>
  <si>
    <t>30% of homes install geothermal heat pumps</t>
  </si>
  <si>
    <t>30% of MF buildings install geothermal heat pumps</t>
  </si>
  <si>
    <t>30% of commercial buildings (765) install geothermal heat pumps</t>
  </si>
  <si>
    <t>10% reduction in overall VMT (vehicle miles traveled)</t>
  </si>
  <si>
    <t>50% reduction in overall VMT (vehicle miles traveled)</t>
  </si>
  <si>
    <t>30% reduction in overall VMT (vehicle miles traveled)</t>
  </si>
  <si>
    <t xml:space="preserve">800,000 sf of bioswales developed </t>
  </si>
  <si>
    <t>equivalent to 1,000 parking spots</t>
  </si>
  <si>
    <t>20% of population affected by responsible development</t>
  </si>
  <si>
    <t>All Buildings 
(Scope 1+2)</t>
  </si>
  <si>
    <t>% of On-Road Diesel Vehicles (Buses, trucks, etc.) to Replace:</t>
  </si>
  <si>
    <t xml:space="preserve">80% of homes install a 4kW solar array </t>
  </si>
  <si>
    <t>60% of homes &amp; MF buildings implement air sealing &amp; insulation</t>
  </si>
  <si>
    <t>30% mode shift from single occupancy vehicles to biking/walking</t>
  </si>
  <si>
    <t xml:space="preserve">~460 buildings install 50kW solar = 23 MW total </t>
  </si>
  <si>
    <t>~2,700 single-family homes install geothermal heat pumps</t>
  </si>
  <si>
    <t>~230 buildings install geothermal heat pumps</t>
  </si>
  <si>
    <t>20% of total population equates to 36,000</t>
  </si>
  <si>
    <t>All ~10000 buildings upgrade to interior and exterior LED lighting</t>
  </si>
  <si>
    <t>Total SOV Fuel Use (gallons gasoline)</t>
  </si>
  <si>
    <t>Total Bus Fuel Use (gallons diesel)</t>
  </si>
  <si>
    <t>average emissions reduction</t>
  </si>
  <si>
    <t>Approximate annual gallons of fuel consumed by buses</t>
  </si>
  <si>
    <t>Approximate annual gallons of fuel consumed by vehicle</t>
  </si>
  <si>
    <t>~32,000 single occupancy vehicles converted to Evs</t>
  </si>
  <si>
    <t>Assumes 80% of single occupancy vehicles are converted to EVs</t>
  </si>
  <si>
    <t>PCAP Table Emissions from alternative fuel (tonnes CO2e)</t>
  </si>
  <si>
    <t>~230 buses transition to low emission fuel</t>
  </si>
  <si>
    <t>% Electricity Savings</t>
  </si>
  <si>
    <t>% of On-Road Gasoline Vehicles (Cars, Vans, etc.) to Electrify:</t>
  </si>
  <si>
    <t>Weatherization of Homes
(Insulation, Window Film, &amp; Air Sealing)</t>
  </si>
  <si>
    <t>Weatherization of Commercial Buildings 
(Roof &amp; Wall Insulation, Window Film)</t>
  </si>
  <si>
    <t>Zero-Emission Fleet Conversion (Electric and/or Hydrogen)
(School &amp; Transit buses + any On-Road Diesel)</t>
  </si>
  <si>
    <t>Low-Emission Fleet Conversion (propane/CNG/LNG/Biodiesel)
(School &amp; Transit buses + any On-Road Diesel)</t>
  </si>
  <si>
    <t>20% Adoption recommended</t>
  </si>
  <si>
    <t>Low or Zero Emission Fleet</t>
  </si>
  <si>
    <t>Implement Low-Emissions Land-Use Planning Techniques</t>
  </si>
  <si>
    <t>Carbon Sequestration - Plant Restoration (Grass and Shrubs)</t>
  </si>
  <si>
    <t>% Mode Shift to Biking/Walking Instead of Driving:</t>
  </si>
  <si>
    <t>% Mode Shift to Bus Instead of Driving:</t>
  </si>
  <si>
    <t>% Mode Shift to Carpool Instead of Driving:</t>
  </si>
  <si>
    <t>Number of Shade Trees Planted:</t>
  </si>
  <si>
    <t>% of Population Affected by Responsible Development</t>
  </si>
  <si>
    <t>The average ENERGY STAR smart thermostat saves 8% of heating and cooling energy bills</t>
  </si>
  <si>
    <t>Scope 1+2 Emissions (tonnes CO2e) / building (Res)</t>
  </si>
  <si>
    <t>Scope 1+2 Emissions (tonnes CO2e) / building (Com)</t>
  </si>
  <si>
    <t>Input 2 - Number of  Buildings (Com)</t>
  </si>
  <si>
    <t>Number of Building Renovations Expected Per Year (Single Family &amp; Multifamily):</t>
  </si>
  <si>
    <t>Number of Building Renovations Expected Per Year (Commercial):</t>
  </si>
  <si>
    <t>Assumption1</t>
  </si>
  <si>
    <t>assumption of 12% referencing SLOPE data</t>
  </si>
  <si>
    <t>Asumption that HVAC accounts for 80-90% of bldg fuel usage</t>
  </si>
  <si>
    <t>15% emissions from water heating</t>
  </si>
  <si>
    <t>Assumes hydropower capacity factor of 36% (generation of max power 36% of the time)</t>
  </si>
  <si>
    <t>For Woven QC Reference (Individual Measure contribution)</t>
  </si>
  <si>
    <t>Install building-level solar &amp; storage</t>
  </si>
  <si>
    <t>Develop clean energy microgrids</t>
  </si>
  <si>
    <t>60% of all buildings retrofit to heat pumps</t>
  </si>
  <si>
    <t>60% of commercial buildings install roof &amp; wall insulation, window films</t>
  </si>
  <si>
    <t>60% of all buildings install smart thermostats</t>
  </si>
  <si>
    <t>~460 commercial buildings install roof &amp; wall insulation, window films</t>
  </si>
  <si>
    <t>Measure Influence on Baseline Emissions %</t>
  </si>
  <si>
    <t>avg % emissions reduction from alternative fuels</t>
  </si>
  <si>
    <t>% savings boost due to inefficient existing homes</t>
  </si>
  <si>
    <t xml:space="preserve">30% of commercial buildings (765) install 50kW turbine, </t>
  </si>
  <si>
    <t>~230 buildings install a 50kW turbine = 11.5 MW total</t>
  </si>
  <si>
    <t>Annual Production (kWh/bldg)</t>
  </si>
  <si>
    <t>(20) 1 MW solar PV systems</t>
  </si>
  <si>
    <t>20 MW of solar PV</t>
  </si>
  <si>
    <t>(20) 1 MW wind turbines</t>
  </si>
  <si>
    <t>20 MW of wind</t>
  </si>
  <si>
    <t>(5) 1 MW hydropower systems</t>
  </si>
  <si>
    <t>5 MW of hydropower</t>
  </si>
  <si>
    <t>SCALING FACTOR (pop)</t>
  </si>
  <si>
    <t>(20) 10 MW solar systems each w/4hr storage</t>
  </si>
  <si>
    <t>(40) 1MW solar systems each w/4hr storage</t>
  </si>
  <si>
    <t xml:space="preserve">75% of MF buildings install a 50kW solar array, </t>
  </si>
  <si>
    <t>Electrify 100% of on-road diesel buses</t>
  </si>
  <si>
    <t>Clean Buses (Propane, CNG, LNG, Biodiesel)</t>
  </si>
  <si>
    <t>EV emissions</t>
  </si>
  <si>
    <t>Original Diesel emissions</t>
  </si>
  <si>
    <t>40 MW solar &amp; 160 MWh storage w/controls to optimize for emissions reductions</t>
  </si>
  <si>
    <t>200 MW solar &amp; 800 MWh storage w/controls to optimize for emissions reductions</t>
  </si>
  <si>
    <t>~230 buses converted to all-electric or hydrogen buses</t>
  </si>
  <si>
    <t xml:space="preserve">30% of homes install 4kw wind turbine, </t>
  </si>
  <si>
    <t>~2,700 single-family homes install 4kW wind turbines = 11MW total</t>
  </si>
  <si>
    <t xml:space="preserve">30% of MF buildings install 50kW wind turbine, </t>
  </si>
  <si>
    <t>~7,300 single-family homes install 4 kW solar = 29 MW total</t>
  </si>
  <si>
    <t>Convert bus fleet to Propane, LNG, CNG, or biodiesel</t>
  </si>
  <si>
    <t>100,000 shrubs planted</t>
  </si>
  <si>
    <t xml:space="preserve">100,000 trees planted </t>
  </si>
  <si>
    <t>1 million sf of grassland restored</t>
  </si>
  <si>
    <t>(3) 30 MW solar farms</t>
  </si>
  <si>
    <t>(3) 25 MW wind farms</t>
  </si>
  <si>
    <t>90 MW of solar</t>
  </si>
  <si>
    <t>75 MW of wind</t>
  </si>
  <si>
    <t>Combined Bus Measure for PCAP Summary Table</t>
  </si>
  <si>
    <t>Implement Renewables</t>
  </si>
  <si>
    <t>Install Solar PV</t>
  </si>
  <si>
    <t xml:space="preserve">Install Wind </t>
  </si>
  <si>
    <t>Commercial Electricity (Scope 2)</t>
  </si>
  <si>
    <t>Residential SF + MF Electricity (Scope 2)</t>
  </si>
  <si>
    <r>
      <t xml:space="preserve">Measure GHG Baseline
</t>
    </r>
    <r>
      <rPr>
        <i/>
        <sz val="16"/>
        <color theme="1"/>
        <rFont val="Calibri"/>
        <family val="2"/>
        <scheme val="minor"/>
      </rPr>
      <t>Scope 1 = Fuel
Scope 2 = Electricity</t>
    </r>
  </si>
  <si>
    <r>
      <t xml:space="preserve">Baseline Emissions
</t>
    </r>
    <r>
      <rPr>
        <i/>
        <sz val="16"/>
        <color theme="1"/>
        <rFont val="Calibri"/>
        <family val="2"/>
        <scheme val="minor"/>
      </rPr>
      <t>(% of Total GHG Emissions)</t>
    </r>
  </si>
  <si>
    <t>For each measure, these columns show which part of the Tribe's total emissions are being reduced</t>
  </si>
  <si>
    <t>Single-Family Fuel 
(Scope 1)</t>
  </si>
  <si>
    <t>Mutifamily Fuel 
(Scope 1)</t>
  </si>
  <si>
    <t>Commercial Fuel 
(Scope 1)</t>
  </si>
  <si>
    <t>Total Electricity 
(Scope 2)</t>
  </si>
  <si>
    <t>On-road 
(Gasoline only)</t>
  </si>
  <si>
    <t>On-road 
(Diesel only)</t>
  </si>
  <si>
    <t>Total Tribal Emissions</t>
  </si>
  <si>
    <t>Assumption for 4hrs of battery storage + microgrid controls to optimize battery discharge when grid at dirtiest. Does not account for outages and offseting diesel generator emissions. 
EV charging can be included for carbon-free charging</t>
  </si>
  <si>
    <t>Number of Wind Systems</t>
  </si>
  <si>
    <t>Number of Solar PV Systems</t>
  </si>
  <si>
    <t xml:space="preserve">~1400 buildings undergo major renovations </t>
  </si>
  <si>
    <t>Wind Turbines</t>
  </si>
  <si>
    <t>Solar PV</t>
  </si>
  <si>
    <t>ONSITE</t>
  </si>
  <si>
    <t>Average CO2e reduction for electrify bus fleet</t>
  </si>
  <si>
    <t>average CO2e reduction for clean buses</t>
  </si>
  <si>
    <t>Convert bus fleet to electricity, hydrogen, or lower-emission fuels</t>
  </si>
  <si>
    <t>Assumes half of buses converted to lower-emission fuels (propane, LNG, CNG, or biodiesel) and half coverted to electricity or hydrogen</t>
  </si>
  <si>
    <t>Avg eGRID TOU Emissions Factor Benefit</t>
  </si>
  <si>
    <t>weighted avg</t>
  </si>
  <si>
    <t>Input 1 - Size of Solar Farm (kW)</t>
  </si>
  <si>
    <t>Input 1 - Size of Wind Farm (kW)</t>
  </si>
  <si>
    <t>Size of Wind (kW):</t>
  </si>
  <si>
    <t>Size of Solar (kW):</t>
  </si>
  <si>
    <t>Input 1 - Size of Hydroelectric Generation (kW)</t>
  </si>
  <si>
    <t>Size of Hydropower System (kW):</t>
  </si>
  <si>
    <t xml:space="preserve">Zero Emissions Single-occupancy vehicles </t>
  </si>
  <si>
    <t>Low or Zero Emissions Bus Fleet</t>
  </si>
  <si>
    <t>Cost Estimate</t>
  </si>
  <si>
    <t>Upfront Cost</t>
  </si>
  <si>
    <t>Units (input 1)</t>
  </si>
  <si>
    <t>Cost / (input 1)</t>
  </si>
  <si>
    <t>$/kW</t>
  </si>
  <si>
    <t>$/MW</t>
  </si>
  <si>
    <t>NREL Quarterly Cost Benchmark Report</t>
  </si>
  <si>
    <t>NREL 2022 Cost of Wind Energy</t>
  </si>
  <si>
    <t>climate action plan? - link for cities climate action plans MN / WI</t>
  </si>
  <si>
    <t>NREL ATB - Hydropower</t>
  </si>
  <si>
    <t>Cost / (input 2)</t>
  </si>
  <si>
    <t>Units (input 2)</t>
  </si>
  <si>
    <t>$/building</t>
  </si>
  <si>
    <t>$/tree</t>
  </si>
  <si>
    <t>$/sf</t>
  </si>
  <si>
    <t>$/shrub</t>
  </si>
  <si>
    <t>$/charger</t>
  </si>
  <si>
    <t>Number of chargers:</t>
  </si>
  <si>
    <t>https://afdc.energy.gov/files/u/publication/evse_cost_report_2015.pdf</t>
  </si>
  <si>
    <t>Capital costs include hardware costs EVSE - charger &amp; pedestal), and installation costs - 3k is average. Range for L2 charger is 600-12,700</t>
  </si>
  <si>
    <t>https://www.maine.gov/mdot/climate/docs/Maine%20DOT%20Transit%20Vehicle%20Electrification%20Best%20Practices.pdf</t>
  </si>
  <si>
    <t>Fleet charging, assumes capital cost of slow charger purchase for fleet charger. (Plug-in slow charger)</t>
  </si>
  <si>
    <t>$/bus</t>
  </si>
  <si>
    <t>Number of Microgrids + Storage Systems:</t>
  </si>
  <si>
    <t>Number of Solar + Storage Systems:</t>
  </si>
  <si>
    <t xml:space="preserve">Lawn Love - Sod </t>
  </si>
  <si>
    <t>Lawn Love - Tree</t>
  </si>
  <si>
    <t>Home Advisor - Landscape Installation</t>
  </si>
  <si>
    <t>$/toilet</t>
  </si>
  <si>
    <t>ASSUMPTIONS</t>
  </si>
  <si>
    <t>Home Depot</t>
  </si>
  <si>
    <t>Each house needs to upgrade 40 lightbulbs (avg in American household)
Typical bulb is 60 Watts, $3/bulb</t>
  </si>
  <si>
    <t xml:space="preserve">Each house has  1 showerhead, 1 bath sink </t>
  </si>
  <si>
    <t>4 Star Electric</t>
  </si>
  <si>
    <t>Each commercial building has 100 LED lightbulbs
Costs $200/bulb including labor</t>
  </si>
  <si>
    <t>Number of buses:</t>
  </si>
  <si>
    <t>Bus fleet - propane/LNG/CNG/biodiesel</t>
  </si>
  <si>
    <t>https://cdn.stateofsustainablefleets.com/2022/state-of-sustainable-fleets-2022-report.pdf</t>
  </si>
  <si>
    <t>Number of toilets per building:</t>
  </si>
  <si>
    <t>system size (tons):</t>
  </si>
  <si>
    <t>Original Calcs from Anu on 1/22 (keeping for records)</t>
  </si>
  <si>
    <t>Sources</t>
  </si>
  <si>
    <t>Assumptions</t>
  </si>
  <si>
    <t xml:space="preserve">Upfront Cost </t>
  </si>
  <si>
    <t>Average Commercial Building Size</t>
  </si>
  <si>
    <t>EPA Rule of Thumb Efficiency Estimates (2016)</t>
  </si>
  <si>
    <t>HUD - Water Conservation</t>
  </si>
  <si>
    <t>ENERGY STAR Certified Smart Thermostats | EPA ENERGY STAR</t>
  </si>
  <si>
    <t xml:space="preserve">Assuming 2 for residential, 5 for commercial </t>
  </si>
  <si>
    <t>Assumed number of fixtures in a single building (faucets &amp; showerheads), assuming 2 bathrooms + kitchen sink</t>
  </si>
  <si>
    <t>Residential: https://www.energycodes.gov/sites/default/files/2021-10/Residential_Demand_Response.pdf
Commercial: ttps://www.ers-inc.com/wp-content/uploads/2017/02/Advanced-Thermostats-for-Commercial-Buildings.pdf</t>
  </si>
  <si>
    <t>Building Decarb Study (Colorado)</t>
  </si>
  <si>
    <t>Number of Thermostats in a Building (not used)</t>
  </si>
  <si>
    <t>https://www.oregon.gov/energy/energy-oregon/Documents/2022-Jan-14-School-Bus-Electrification-Cost-Comparison-Tool.xlsx</t>
  </si>
  <si>
    <t>LBNL: Cost of Decarbonization &amp; Energy</t>
  </si>
  <si>
    <t>https://www.sbdautomotive.com/post/new-index-identifies-ev-leaders-and-laggards-in-the-u-s-and-europe#:~:text=Eight%20to%20twelve%20EVs%20per,geographic%20coverage%20becomes%20less%20critical.</t>
  </si>
  <si>
    <t>Number of EV's</t>
  </si>
  <si>
    <t>Average of 10 Evs/charger</t>
  </si>
  <si>
    <t>https://www.masstransitmag.com/bus/article/12131451/battery-bus-range-its-all-in-the-math</t>
  </si>
  <si>
    <t>SF/building</t>
  </si>
  <si>
    <t xml:space="preserve">An average of the EPA's listed cost premium of $0.9-$1.2/SF for "Standard Lighting Retrofit," which is assumed to mean LED. Assuming (1) exterior lighting is included and (2) an standard SF per building. (see right) </t>
  </si>
  <si>
    <t>Heating - 50-60 btu/h/sf, cooling - 500-600 sf/ton</t>
  </si>
  <si>
    <t xml:space="preserve">1 ton = </t>
  </si>
  <si>
    <t>Btu/hr</t>
  </si>
  <si>
    <t>Heating (Commercial)</t>
  </si>
  <si>
    <t>Cooling (Commercial)</t>
  </si>
  <si>
    <t>Heating (Multifamily)</t>
  </si>
  <si>
    <t>Cooling (Multifamily)</t>
  </si>
  <si>
    <t>Total Reduction in GHG Emissions (tonnes CO2e)</t>
  </si>
  <si>
    <t>Total % Reduction in GHG Emissions</t>
  </si>
  <si>
    <t>Total Cost Estimate</t>
  </si>
  <si>
    <t>Total Reduction is Equivalent to offsetting emissions from…</t>
  </si>
  <si>
    <t xml:space="preserve">Represents reported appliance costs for survey of home energy upgrade costs by measure: $1092 for a refrigerator, $643 for a dishwasher, $1791 for a washing machine, and $1,966 for a clothes dryer. Central air condition replacement was $5,930, and most sampled met Energy Star requirements. Each appliance is summed for the cost/building, so this measure assumes full replacement of all appliances. Assuming to include installation cost, based on source's general approach to include labor/installation as part of Total Cost. </t>
  </si>
  <si>
    <t xml:space="preserve">See pg. 204, represents median cost of lighting upgrades replacements for nationwide sample of home upgrade costs. This median includes lighting upgrades where number of fixtures in unknown. Source identifies measure cost installed by fixture, so installation cost included. </t>
  </si>
  <si>
    <t>Assuming that less than 20 MW system is a community solar project, PV + BESS = $796/kW (converted to $/MW by dividing by 0.001)</t>
  </si>
  <si>
    <t>Assuming that greater than 20 MW system is a community solar project, PV + BESS = $790/kW (converted to $/MW by dividing by 0.001)</t>
  </si>
  <si>
    <t>TOTAL COST OF GHG REDUCTION MEASURES</t>
  </si>
  <si>
    <t>&lt;- source indicates typical residential size = 3 tons, which is converted to kW</t>
  </si>
  <si>
    <t>Cost  Assumptions &amp; Notes</t>
  </si>
  <si>
    <t>NREL ATB - Geothermal</t>
  </si>
  <si>
    <t>Assumes commercial building - 15000 sf, mulitfamily 10,000 sf</t>
  </si>
  <si>
    <t>US DOE Guide to Geothermal Heat Pump</t>
  </si>
  <si>
    <t>Assumption Summary (Tribal Facing)</t>
  </si>
  <si>
    <t xml:space="preserve"> On average, a typical home of 2500 square feet, with a heating load of 60,000 BTU and a cooling load of 60,000 BTU will cost between $20,000 to $25,000 to install. </t>
  </si>
  <si>
    <t xml:space="preserve">MNGHPA </t>
  </si>
  <si>
    <t>Assuming installation of a high efficiency heat pump with a COP of ~3</t>
  </si>
  <si>
    <t>planting</t>
  </si>
  <si>
    <t>spraying</t>
  </si>
  <si>
    <t>shrub</t>
  </si>
  <si>
    <t>Electrify Commercial Heating Equipment</t>
  </si>
  <si>
    <t>Electrify Residential Heating Equipment</t>
  </si>
  <si>
    <t>Input 1 - Number of SF Buildings</t>
  </si>
  <si>
    <t>Residential Total Emissions (tonnes CO2e)</t>
  </si>
  <si>
    <t>Commercial Total Emissions (tonnes CO2e)</t>
  </si>
  <si>
    <t>Commercial Tonnes CO2e Saved</t>
  </si>
  <si>
    <t>Residential Tonnes CO2e Saved</t>
  </si>
  <si>
    <t>Number of Single Family Buildings:</t>
  </si>
  <si>
    <t>Attic/Insulate/Framed floor</t>
  </si>
  <si>
    <t xml:space="preserve">House/Seal/Envelope </t>
  </si>
  <si>
    <t xml:space="preserve">Walls/Insulate/All </t>
  </si>
  <si>
    <t>Section/Action/Component</t>
  </si>
  <si>
    <t>Measure Cost</t>
  </si>
  <si>
    <t>$/Floor Area</t>
  </si>
  <si>
    <t xml:space="preserve">Total Cost </t>
  </si>
  <si>
    <t>Residential SF + MF Fuel (Scope 1)</t>
  </si>
  <si>
    <t>Weatherization</t>
  </si>
  <si>
    <t>Assumed Home Size (SF)</t>
  </si>
  <si>
    <t>Size of Home Assumed (SF)</t>
  </si>
  <si>
    <t xml:space="preserve">Represents cost of "basic" elements of retrofits, which include the following measures: Attic/Insulate/Framed floor, House/Seal/Envelope, Walls/Insulate/All. Assuming these meaures/costs covers the cost of weatherization and is inclusive of installation costs. Using the cost of each measure and the $/Floor Area breakdown, an average single family home size was generated. Using this and the $/Floor Area to build up the cost for building, and the $/Floor Area will also be applied to commercial buildings as well. 
Supporting source of DOE WAP program is same cost magnitude: https://www.energy.gov/sites/default/files/2022-06/wap-fact-sheet_0622.pdf. </t>
  </si>
  <si>
    <t>Size of Home Assumed (SF) - see table to the right for buildup</t>
  </si>
  <si>
    <t>Uses the $/Floor Area for residential weatherization measures (see "Weatherization of Homes" measure) and applies it an average commercial building size consistent with the Greenhouse Gas Inventory. See table to the right "Weatherization."</t>
  </si>
  <si>
    <t>Weatherization (Residential)</t>
  </si>
  <si>
    <t>Source Link</t>
  </si>
  <si>
    <t>E8&lt;550,8425,IF(D8&lt;20000,3270,1750</t>
  </si>
  <si>
    <t>E9&lt;550,865,IF(D9&lt;20000,473,467</t>
  </si>
  <si>
    <t xml:space="preserve">PNNL - Update of Market Assessment for Capturing Water Conservation Opportunities in the Federal Sector </t>
  </si>
  <si>
    <t xml:space="preserve">$300 represents cost of pressure-assist toilet wholesale from 2005 survey from manufacturer for a GSA study (most expensive option). The source estimates ~1 hour installation at $43, so total is $343. Study is from 2005, so may be an underestimate. </t>
  </si>
  <si>
    <t>$/kw</t>
  </si>
  <si>
    <t>Utility Scale</t>
  </si>
  <si>
    <t>Assumes commercial building - 5000 sf, multifamily 10,000 sf</t>
  </si>
  <si>
    <t>$/SF building</t>
  </si>
  <si>
    <t xml:space="preserve">Installation and product cost before incentives. Assumptions include average size of home in Minnesota, 4 people using hot water, 60 MBH heating load and 36 MBH cooling load. 60 MBH is approx. by 5 tons, so the system is ~$5000/ton. </t>
  </si>
  <si>
    <t xml:space="preserve">Other Geothermal Notes </t>
  </si>
  <si>
    <t>Helper Assumptions</t>
  </si>
  <si>
    <t xml:space="preserve">Source located on BuildingDecarb.org. Installed cost of a heat pump in a commercial office building in Colorado, scaled from the source data building size (28,000 SF) to our commercial building size. Inclusive of installation cost.  </t>
  </si>
  <si>
    <t>Cost per ton ($/ton) of a geothermal system</t>
  </si>
  <si>
    <t>Cost per Measure</t>
  </si>
  <si>
    <t>~115 buses converted to lower-emission fuels (propane, LNG, CNG, or biodiesel) and ~115 coverted to electricity or hydrogen</t>
  </si>
  <si>
    <t>Input 1 - Number of SF+MF Buildings</t>
  </si>
  <si>
    <t xml:space="preserve">Number of Units / Multifamily Buliding </t>
  </si>
  <si>
    <t>Install Smart Thermostats (Residential)</t>
  </si>
  <si>
    <t>Install Smart Thermostats (Commercial)</t>
  </si>
  <si>
    <r>
      <rPr>
        <b/>
        <sz val="16"/>
        <color theme="1"/>
        <rFont val="Calibri"/>
        <family val="2"/>
        <scheme val="minor"/>
      </rPr>
      <t>Commercial</t>
    </r>
    <r>
      <rPr>
        <sz val="16"/>
        <color theme="1"/>
        <rFont val="Calibri"/>
        <family val="2"/>
        <scheme val="minor"/>
      </rPr>
      <t xml:space="preserve">: Reported costs from vendors in NY for NYSERDA/independent consultant study is $750-$1250/thermostat, so taking average of $1000/unit. Assuming 1 per building. Inclusive of installation cost. https://www.ers-inc.com/wp-content/uploads/2017/02/Advanced-Thermostats-for-Commercial-Buildings.pdf
</t>
    </r>
  </si>
  <si>
    <t>Residential - Median cost of smart thermostat ($260) + national average for installation cost  ($175) of smart thermostat. Assuming one per residence. Inclusive of installation cost. 
Source: https://www.energycodes.gov/sites/default/files/2021-10/Residential_Demand_Response.pdf</t>
  </si>
  <si>
    <t>Tonnes CO2e Saved (Residential)</t>
  </si>
  <si>
    <t>Tonnes CO2e Saved Commercial</t>
  </si>
  <si>
    <t>Input 1 - Number of Total Buildings</t>
  </si>
  <si>
    <r>
      <t>Taking into account individual travel patterns and constraints, walking or cycling could realistically substitute for 41% of short car trips, saving nearly 5% of CO</t>
    </r>
    <r>
      <rPr>
        <sz val="9"/>
        <color rgb="FF1F1F1F"/>
        <rFont val="Georgia"/>
        <family val="1"/>
      </rPr>
      <t>2</t>
    </r>
    <r>
      <rPr>
        <sz val="12"/>
        <color rgb="FF1F1F1F"/>
        <rFont val="Georgia"/>
        <family val="1"/>
      </rPr>
      <t>e emissions from car travel. This was on top of 5% of ‘avoided’ emissions from cars due to existing walking and cycling. </t>
    </r>
  </si>
  <si>
    <t>May be a low adoption rate (~10%) depending on density of Tribal area and feasibility of walking and biking to common destinations.  Assumes 41% of short car trips less than 3 miles avoided.</t>
  </si>
  <si>
    <r>
      <t xml:space="preserve">Increase Building Efficiency (Commercial)
</t>
    </r>
    <r>
      <rPr>
        <i/>
        <sz val="14"/>
        <color theme="1"/>
        <rFont val="Calibri"/>
        <family val="2"/>
        <scheme val="minor"/>
      </rPr>
      <t>*Assumes small Commercial bldg of 5,000 SF</t>
    </r>
  </si>
  <si>
    <t>Community (3MW) </t>
  </si>
  <si>
    <t>Utility (100 MW) </t>
  </si>
  <si>
    <t>Solar only </t>
  </si>
  <si>
    <t>$2,682 </t>
  </si>
  <si>
    <t>$1,761 </t>
  </si>
  <si>
    <t>$1,161 </t>
  </si>
  <si>
    <t>Solar + storage </t>
  </si>
  <si>
    <t>(list storage assumptions) </t>
  </si>
  <si>
    <t>$4,702 </t>
  </si>
  <si>
    <t>$2,944 </t>
  </si>
  <si>
    <t>$2,106 </t>
  </si>
  <si>
    <t>MMP PRICES ($/kW)</t>
  </si>
  <si>
    <r>
      <t>Residential </t>
    </r>
    <r>
      <rPr>
        <b/>
        <sz val="14"/>
        <color rgb="FFFA0000"/>
        <rFont val="Calibri"/>
        <family val="2"/>
      </rPr>
      <t>(8kW)</t>
    </r>
    <r>
      <rPr>
        <b/>
        <sz val="14"/>
        <rFont val="Calibri"/>
        <family val="2"/>
      </rPr>
      <t>* </t>
    </r>
  </si>
  <si>
    <t>*kW/MW sizes in parentheses are reference cases. Assume representative for broader solar sizes</t>
  </si>
  <si>
    <t>hide this column</t>
  </si>
  <si>
    <t>residential for below 2MW</t>
  </si>
  <si>
    <t>Community 500kW to 20MW</t>
  </si>
  <si>
    <t>Utility for 20MW and above</t>
  </si>
  <si>
    <t xml:space="preserve">Cost estimate from Minnesota Geothermal Heat Pump Association, $5,000/ton.  Assumption of 5tons/ home. Does not include incentives. </t>
  </si>
  <si>
    <t xml:space="preserve">Cost estimate from Minnesota Geothermal Heat Pump Association, $5,000/ton.  Assumption of 23 tons/commercial bldg. Does not include incentives. </t>
  </si>
  <si>
    <t>NREL 2022 Cost of Wind Energy. $8,425/kW for residential: below 500kW, $3,270/kW for community: 500kW to 20MW, and $1,750/kW for utility-scale: 20MW and above</t>
  </si>
  <si>
    <t>$2,574/kW for non-powered dams, low-cost lakes. NREL ATB - Hydropower</t>
  </si>
  <si>
    <t>Assume $2.86/SF applied to a 5,000 SF commercial building. Represents median cost of weatherization measures (attic + wall insulation, envelope improvements) from sampled home retrofit data. LBNL: Cost of Decarbonization &amp; Energy</t>
  </si>
  <si>
    <t>Assumes a cost of $1.05/SF for standard LED lighting upgrades applied to a 5,000 square foot commercial building to estimate cost per building. EPA Rule of Thumb Efficiency Estimates (2016)</t>
  </si>
  <si>
    <t>Assumes $1,000/thermostat based on ERS Independent Consultant Study</t>
  </si>
  <si>
    <t>$8.61/sf for total replacement/installation for commercial building. Building Decarbonization Coalition</t>
  </si>
  <si>
    <t>Cost estimates not provided, as this measure describes a policy or program that is very dependent on specific project details, priorities, and strategies implemented in different ways by each Tribe.</t>
  </si>
  <si>
    <r>
      <t>Electric Bus pricing of $175,000 assumes School Bus (Type A-B), Hydrogen fuel cell bus pricing of $1,200,000</t>
    </r>
    <r>
      <rPr>
        <b/>
        <sz val="16"/>
        <color theme="1"/>
        <rFont val="Calibri"/>
        <family val="2"/>
        <scheme val="minor"/>
      </rPr>
      <t xml:space="preserve"> </t>
    </r>
    <r>
      <rPr>
        <sz val="16"/>
        <color theme="1"/>
        <rFont val="Calibri"/>
        <family val="2"/>
        <scheme val="minor"/>
      </rPr>
      <t>assumes Transit Bus. Electric bus charger price of $70,000 assumes 1 charger/7 buses with plug-in slow charger. Transit Vehicle Electrification Best Practices. Maine DOT</t>
    </r>
  </si>
  <si>
    <t>Inclusive of average Level 1 charger equipment and installation cost of $2,400.  Assumes 1 EV per person, and assumes 10 Evs are served by 1 public charger. DOE, Costs Associated With Non-Residential Electric Vehicle Supply Equipment, 2015</t>
  </si>
  <si>
    <t>Natural Gas pricing ($125,000) assumes School Bus (Type A-B), Propane pricing ($105,000) assumes School Bus (Type C-D), Biodiesel bus pricing ($91,250) assumes school bus. The State of Sustainable Fleets, 2022 - GNA</t>
  </si>
  <si>
    <t xml:space="preserve">$300 assumed as national average cost of planting a medium sized tree (including both cost of the tree itself and labor). A medium tree is 5-9 ft tall. </t>
  </si>
  <si>
    <t xml:space="preserve">$0.5/sf used as the national average cost of planting sod per area and $25/ shrub. </t>
  </si>
  <si>
    <t xml:space="preserve">The national average cost of planting sod per area was used for this calculation. $0.5/sf </t>
  </si>
  <si>
    <t xml:space="preserve">$343/toilet. Represents wholesale cost of one pressure-assist toilet fixture and labor costs for a 1-hour installation. PNNL - Update of Market Assessment for Capturing Water Conservation Opportunities in the Federal Sector </t>
  </si>
  <si>
    <t>Total Emissions (Tonness CO2e)</t>
  </si>
  <si>
    <t>Commercial
(Scope 1+2)</t>
  </si>
  <si>
    <t xml:space="preserve">Source located on BuildingDecarb.org. Installed cost of a heat pump in single-family home in Colorado. Scaled by assumed number of multifamily units in a multifamily building. Matches Rewiring America's estimate for residential heat pump cost (commercial info not available). Inclusive of installation costs. </t>
  </si>
  <si>
    <t>https://www.energycodes.gov/sites/default/files/2021-10/Residential_Demand_Response.pdf</t>
  </si>
  <si>
    <t>Commercial: ttps://www.ers-inc.com/wp-content/uploads/2017/02/Advanced-Thermostats-for-Commercial-Buildings.pdf</t>
  </si>
  <si>
    <t>Showers</t>
  </si>
  <si>
    <t>Faucets</t>
  </si>
  <si>
    <t xml:space="preserve">No. </t>
  </si>
  <si>
    <t>Showerheads</t>
  </si>
  <si>
    <t xml:space="preserve">See pg. 19 of Source for list of retrofits &amp; related unit costs. This calculation includes retrofits for (1) low-flow faucet aerators, which are $2/retrofit and (2) low-flow showerheads, average cost of $11/retrofit, ONLY. This retrofit amount is inclusive of installation/labor costs in HUD report. See assumption to the right for number of fixtures retrofitted per house (4 facuets, 2 showerheads). For showerheads, the median of the cost range is used. </t>
  </si>
  <si>
    <t>Input 1 - Number of SF+MF Housing Units</t>
  </si>
  <si>
    <t>Number of multifamily units</t>
  </si>
  <si>
    <t>Number of Multifamily Units:</t>
  </si>
  <si>
    <t>Input 1 - Number of MF Units</t>
  </si>
  <si>
    <t>Scope 1 Emissions / units</t>
  </si>
  <si>
    <t>$/unit</t>
  </si>
  <si>
    <t xml:space="preserve">Cost estimate from Minnesota Geothermal Heat Pump Association, $5,000/ton.  Assumption of 5 tons/MF unit. Does not include incentives. </t>
  </si>
  <si>
    <t>Number of Multifamily Unita:</t>
  </si>
  <si>
    <t xml:space="preserve">Number of Multifamily Units: </t>
  </si>
  <si>
    <t>$/MF unit</t>
  </si>
  <si>
    <t>~5500 single-family homes and ~860 multifamily units implement air sealing &amp; insulation</t>
  </si>
  <si>
    <t>~5500 single-family homes, ~860 multifamily units, and ~460 commercial buildings are retrofitted with heat pumps</t>
  </si>
  <si>
    <t>~5500 single-family homes and ~860 multifamily units install low flow fixtures</t>
  </si>
  <si>
    <t>~5500 single-family homes and ~860 multifamily units upgrade AC units, dishwashers, refrigerators, and clothes washers/dryers to higher efficiency models, such as ENERGY STAR certified models</t>
  </si>
  <si>
    <t>~5500 single-family homes, ~860 multifamily units, and ~460 commercial buildings install thermostats</t>
  </si>
  <si>
    <t>Input 2 - Number of MF units</t>
  </si>
  <si>
    <t>(unused) Smart Thermostat Electricity Savings (MWh) per house</t>
  </si>
  <si>
    <t>(unused)  Smart Thermostat Fuel Savings (MWh) per house</t>
  </si>
  <si>
    <t>(unused)  Total Emissions Saved (Tonnes CO2e)</t>
  </si>
  <si>
    <t xml:space="preserve">Install Low-Flow Water Fixtures (Stationary) - see calcs below </t>
  </si>
  <si>
    <t>Number of Multifamily Units:
(If unknown, assume 4 units / bldg)</t>
  </si>
  <si>
    <t>$435/for thermostat+install.  Assumes installed cost of one thermostat per building or multifamily unit.  energycodes.gov</t>
  </si>
  <si>
    <t xml:space="preserve">$30/home or unit. Includes cost of installing low-flow faucet aerators and low-flow showerheads only. Assuming 6 fixtures (2 showerheads, 4 faucets) per home. </t>
  </si>
  <si>
    <t>Total MF Units</t>
  </si>
  <si>
    <t>Residential (SF+MF) Scope 1 emissions /building +unit</t>
  </si>
  <si>
    <t>Residential (SF+MF) Scope 2 emissions /building +unit</t>
  </si>
  <si>
    <t>Residential (SF+MF) Scope 1+2 emissions /building +unit</t>
  </si>
  <si>
    <t>$11,422/per home and per unit represents full replacement to higher efficiency version of one of each of the following appliances: refrigerator, dishwasher, washing machine, clothes dryer, and central air conditioning.  LBNL: Cost of Decarbonization &amp; Energy</t>
  </si>
  <si>
    <t>$144/per home &amp; MF unit of for LED bulbs represents median cost per home from sampled home retrofit data. LBNL: Cost of Decarbonization &amp; Energy</t>
  </si>
  <si>
    <t>$4,782/per home represents the median cost of weatherization measures (attic + wall insulation, envelope improvements) from sampled home retrofit data. LBNL: Cost of Decarbonization &amp; Energy.  Assumption that cost per MF is 2/3rd the cost due to shared building envelope</t>
  </si>
  <si>
    <t>% Hot water savings for WaterSense showers and faucets  (22%)</t>
  </si>
  <si>
    <t>$20,400 estimate for cost for a residential system (inclusive of installation) from the Building Decarbonization Coalition</t>
  </si>
  <si>
    <t>Commercial
(Scope 1)</t>
  </si>
  <si>
    <t>doesn't need to be used in calcs - 20% reduction in water usage</t>
  </si>
  <si>
    <t>Increase Building Efficiency 
(Single Family and Multifamily)
*assumes MF bldg of 4 units</t>
  </si>
  <si>
    <t>Estimate of Total Current Tribal Emissions (tons)</t>
  </si>
  <si>
    <t>33% total of EIA values beginning in C58 to C62 in bldgs tab</t>
  </si>
  <si>
    <t>E32 in bldgs tab (California Air Pollution Control Officers Association)</t>
  </si>
  <si>
    <t>comparison (for bldg measures)</t>
  </si>
  <si>
    <t>hidden</t>
  </si>
  <si>
    <t>For column C - Baseline Emissions: DOE states that Lighting accounts for around 15% of an average home's electricity use</t>
  </si>
  <si>
    <t>EnergyStar states Lighting makes up 17% of all electricity consumed in U.S. commercial buildings</t>
  </si>
  <si>
    <t>&lt;=MF buidlings</t>
  </si>
  <si>
    <t>~110 multifamily buildings (430 units) install geothermal HP</t>
  </si>
  <si>
    <t>~270 multifamily buildings install 50kW solar array  = 13.5 MW total</t>
  </si>
  <si>
    <t>~110 multifamily buildings install 50kW turbine = 5 MW total</t>
  </si>
  <si>
    <t>$/ton of GHG Emissions Reduced</t>
  </si>
  <si>
    <t>INPUT Number of Single Family Buildings</t>
  </si>
  <si>
    <t>INPUT Number of Multifamily Units</t>
  </si>
  <si>
    <t>INPUT Number of Commercial Buildings</t>
  </si>
  <si>
    <t>Hydrogen Fuel Cell Buses</t>
  </si>
  <si>
    <t>Propane Buses</t>
  </si>
  <si>
    <t>NREL Quarterly Cost Benchmark Report (2023)  $2,944/kW for community: 500kW to 20MW, and $2,106/kW for utility-scale: 20MW and above</t>
  </si>
  <si>
    <t>NREL Quarterly Cost Benchmark Report (2023) $4,702/kW for residential: below 500kW,$2,944/kW for community: 500kW to 20MW</t>
  </si>
  <si>
    <t>NREL Quarterly Cost Benchmark Report (2023) $2,682/kW for residential: below 500kW, $1,761/kW for community: 500kW to 20MW, and $1,161/kW for utility-scale: 20MW and above</t>
  </si>
  <si>
    <t>Calculates an average of emissions saved by comparing on-road diesel emissions to average across all low emission fuels</t>
  </si>
  <si>
    <t>Total Number of Single Family Buildings (DEFAULT)</t>
  </si>
  <si>
    <t>Total Number of Multifamily Buildings (DEFAULT)</t>
  </si>
  <si>
    <t>Total Number of Commercial Buildings (DEFAULT)</t>
  </si>
  <si>
    <t>Tribe Population 
(Input Population Here)</t>
  </si>
  <si>
    <t>Tribe 
(Input Name Here)</t>
  </si>
  <si>
    <t>1. Input Tribe Name, Population, and State
2. Review Reduction Measures that are of interest for implementation projects
3. Fill in input cells for measures of interest (green cells)
4. Review reduction measure Assumptions &amp; Notes for further clarity
5. Evaluate results by measure and total (blue cells)</t>
  </si>
  <si>
    <t>Type Name Here</t>
  </si>
  <si>
    <t>BUILDING FACTOR</t>
  </si>
  <si>
    <t>BUILDING DEFAULT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</si>
</sst>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0.0"/>
    <numFmt numFmtId="168" formatCode="0.0000"/>
    <numFmt numFmtId="169" formatCode="0.000"/>
    <numFmt numFmtId="170" formatCode="0.00000"/>
    <numFmt numFmtId="171" formatCode="0.000000"/>
    <numFmt numFmtId="172" formatCode="#,##0.000"/>
    <numFmt numFmtId="173" formatCode="_(* #,##0.0_);_(* \(#,##0.0\);_(* &quot;-&quot;??_);_(@_)"/>
    <numFmt numFmtId="174" formatCode="0.0000000000"/>
    <numFmt numFmtId="175" formatCode="0.0000%"/>
    <numFmt numFmtId="176" formatCode="&quot;$&quot;#,##0.00"/>
    <numFmt numFmtId="177" formatCode="_(&quot;$&quot;* #,##0_);_(&quot;$&quot;* \(#,##0\);_(&quot;$&quot;* &quot;-&quot;??_);_(@_)"/>
    <numFmt numFmtId="178" formatCode="&quot;$&quot;#,##0"/>
    <numFmt numFmtId="179" formatCode="_(* #,##0.0000000_);_(* \(#,##0.0000000\);_(* &quot;-&quot;??_);_(@_)"/>
  </numFmts>
  <fonts count="117"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1"/>
      <scheme val="minor"/>
    </font>
    <font>
      <sz val="10"/>
      <name val="Arial"/>
      <family val="2"/>
    </font>
    <font>
      <b/>
      <sz val="15"/>
      <color theme="3"/>
      <name val="Arial"/>
      <family val="2"/>
    </font>
    <font>
      <b/>
      <sz val="13"/>
      <color theme="3"/>
      <name val="Arial"/>
      <family val="2"/>
    </font>
    <font>
      <b/>
      <sz val="11"/>
      <color theme="3"/>
      <name val="Arial"/>
      <family val="2"/>
    </font>
    <font>
      <sz val="18"/>
      <color theme="3"/>
      <name val="Arial"/>
      <family val="2"/>
    </font>
    <font>
      <b/>
      <sz val="11"/>
      <color theme="1"/>
      <name val="Arial"/>
      <family val="2"/>
    </font>
    <font>
      <sz val="11"/>
      <color theme="1"/>
      <name val="Arial"/>
      <family val="2"/>
    </font>
    <font>
      <i/>
      <sz val="11"/>
      <color theme="1"/>
      <name val="Arial"/>
      <family val="2"/>
    </font>
    <font>
      <u/>
      <sz val="11"/>
      <color theme="10"/>
      <name val="Arial"/>
      <family val="2"/>
    </font>
    <font>
      <b/>
      <sz val="11"/>
      <color theme="1"/>
      <name val="Calibri"/>
      <family val="2"/>
      <scheme val="minor"/>
    </font>
    <font>
      <b/>
      <sz val="14"/>
      <color theme="1"/>
      <name val="Arial"/>
      <family val="2"/>
    </font>
    <font>
      <b/>
      <sz val="18"/>
      <color theme="1"/>
      <name val="Arial"/>
      <family val="2"/>
    </font>
    <font>
      <b/>
      <sz val="10"/>
      <name val="Arial"/>
      <family val="2"/>
    </font>
    <font>
      <sz val="14"/>
      <color theme="1"/>
      <name val="Calibri"/>
      <family val="2"/>
      <scheme val="minor"/>
    </font>
    <font>
      <b/>
      <sz val="14"/>
      <color theme="1"/>
      <name val="Calibri"/>
      <family val="2"/>
      <scheme val="minor"/>
    </font>
    <font>
      <sz val="14"/>
      <color rgb="FF000000"/>
      <name val="Calibri"/>
      <family val="2"/>
      <scheme val="minor"/>
    </font>
    <font>
      <b/>
      <sz val="9"/>
      <name val="Arial"/>
      <family val="2"/>
    </font>
    <font>
      <b/>
      <vertAlign val="superscript"/>
      <sz val="9"/>
      <name val="Arial"/>
      <family val="2"/>
    </font>
    <font>
      <sz val="9"/>
      <color theme="1"/>
      <name val="Arial"/>
      <family val="2"/>
    </font>
    <font>
      <b/>
      <vertAlign val="subscript"/>
      <sz val="10"/>
      <name val="Arial"/>
      <family val="2"/>
    </font>
    <font>
      <b/>
      <sz val="11"/>
      <name val="Arial"/>
      <family val="2"/>
    </font>
    <font>
      <sz val="11"/>
      <name val="Arial"/>
      <family val="2"/>
    </font>
    <font>
      <sz val="11"/>
      <color rgb="FF000000"/>
      <name val="Arial"/>
      <family val="2"/>
    </font>
    <font>
      <sz val="9"/>
      <name val="Arial"/>
      <family val="2"/>
    </font>
    <font>
      <sz val="9"/>
      <color rgb="FF000000"/>
      <name val="Arial"/>
      <family val="2"/>
    </font>
    <font>
      <b/>
      <sz val="8"/>
      <name val="Arial"/>
      <family val="2"/>
    </font>
    <font>
      <sz val="8"/>
      <color theme="1"/>
      <name val="Arial"/>
      <family val="2"/>
    </font>
    <font>
      <sz val="8"/>
      <name val="Arial"/>
      <family val="2"/>
    </font>
    <font>
      <sz val="8"/>
      <color rgb="FF000000"/>
      <name val="Arial"/>
      <family val="2"/>
    </font>
    <font>
      <b/>
      <vertAlign val="superscript"/>
      <sz val="8"/>
      <name val="Arial"/>
      <family val="2"/>
    </font>
    <font>
      <b/>
      <sz val="8"/>
      <color theme="1"/>
      <name val="Arial"/>
      <family val="2"/>
    </font>
    <font>
      <sz val="8"/>
      <color rgb="FF006FC0"/>
      <name val="Arial"/>
      <family val="2"/>
    </font>
    <font>
      <vertAlign val="superscript"/>
      <sz val="8"/>
      <name val="Arial"/>
      <family val="2"/>
    </font>
    <font>
      <b/>
      <sz val="9"/>
      <color indexed="81"/>
      <name val="Tahoma"/>
      <family val="2"/>
    </font>
    <font>
      <sz val="9"/>
      <color indexed="81"/>
      <name val="Tahoma"/>
      <family val="2"/>
    </font>
    <font>
      <b/>
      <sz val="20"/>
      <color theme="1"/>
      <name val="Calibri"/>
      <family val="2"/>
      <scheme val="minor"/>
    </font>
    <font>
      <sz val="11"/>
      <color rgb="FFFF0000"/>
      <name val="Arial"/>
      <family val="2"/>
    </font>
    <font>
      <b/>
      <sz val="16"/>
      <color theme="1"/>
      <name val="Calibri"/>
      <family val="2"/>
      <scheme val="minor"/>
    </font>
    <font>
      <sz val="16"/>
      <color theme="1"/>
      <name val="Calibri"/>
      <family val="2"/>
      <scheme val="minor"/>
    </font>
    <font>
      <b/>
      <sz val="18"/>
      <color theme="1"/>
      <name val="Calibri"/>
      <family val="2"/>
      <scheme val="minor"/>
    </font>
    <font>
      <b/>
      <sz val="12"/>
      <color theme="1"/>
      <name val="Calibri"/>
      <family val="2"/>
      <scheme val="minor"/>
    </font>
    <font>
      <b/>
      <sz val="16"/>
      <color rgb="FF000000"/>
      <name val="Calibri"/>
      <family val="2"/>
      <scheme val="minor"/>
    </font>
    <font>
      <b/>
      <sz val="16"/>
      <color theme="1"/>
      <name val="Arial"/>
      <family val="2"/>
    </font>
    <font>
      <i/>
      <sz val="11"/>
      <color rgb="FFFF0000"/>
      <name val="Arial"/>
      <family val="2"/>
    </font>
    <font>
      <b/>
      <sz val="26"/>
      <color theme="1"/>
      <name val="Calibri"/>
      <family val="2"/>
      <scheme val="minor"/>
    </font>
    <font>
      <b/>
      <sz val="16"/>
      <color rgb="FFFF0000"/>
      <name val="Calibri"/>
      <family val="2"/>
      <scheme val="minor"/>
    </font>
    <font>
      <sz val="18"/>
      <color theme="1"/>
      <name val="Calibri"/>
      <family val="2"/>
      <scheme val="minor"/>
    </font>
    <font>
      <b/>
      <sz val="20"/>
      <color theme="3"/>
      <name val="Calibri"/>
      <family val="2"/>
      <scheme val="minor"/>
    </font>
    <font>
      <b/>
      <sz val="20"/>
      <name val="Calibri"/>
      <family val="2"/>
      <scheme val="minor"/>
    </font>
    <font>
      <sz val="11"/>
      <color theme="1"/>
      <name val="Calibri"/>
      <family val="2"/>
    </font>
    <font>
      <sz val="14"/>
      <color theme="1"/>
      <name val="Calibri"/>
      <family val="2"/>
      <scheme val="minor"/>
    </font>
    <font>
      <b/>
      <sz val="14"/>
      <color theme="1"/>
      <name val="Calibri"/>
      <family val="2"/>
      <scheme val="minor"/>
    </font>
    <font>
      <b/>
      <sz val="20"/>
      <color theme="1"/>
      <name val="Calibri"/>
      <family val="2"/>
      <scheme val="minor"/>
    </font>
    <font>
      <sz val="11"/>
      <color theme="1"/>
      <name val="Calibri"/>
      <family val="2"/>
      <scheme val="minor"/>
    </font>
    <font>
      <sz val="22"/>
      <color theme="1"/>
      <name val="Calibri"/>
      <family val="2"/>
      <scheme val="minor"/>
    </font>
    <font>
      <sz val="11"/>
      <color theme="4" tint="0.39997558519241921"/>
      <name val="Arial"/>
      <family val="2"/>
    </font>
    <font>
      <sz val="16"/>
      <color theme="1"/>
      <name val="Times New Roman"/>
      <family val="1"/>
    </font>
    <font>
      <b/>
      <sz val="16"/>
      <color theme="1"/>
      <name val="Times New Roman"/>
      <family val="1"/>
    </font>
    <font>
      <b/>
      <sz val="28"/>
      <color theme="1"/>
      <name val="Calibri"/>
      <family val="2"/>
      <scheme val="minor"/>
    </font>
    <font>
      <sz val="20"/>
      <color theme="1"/>
      <name val="Calibri"/>
      <family val="2"/>
      <scheme val="minor"/>
    </font>
    <font>
      <b/>
      <sz val="28"/>
      <name val="Calibri"/>
      <family val="2"/>
      <scheme val="minor"/>
    </font>
    <font>
      <b/>
      <sz val="11"/>
      <color rgb="FF000000"/>
      <name val="Arial"/>
      <family val="2"/>
    </font>
    <font>
      <sz val="11"/>
      <color theme="0"/>
      <name val="Calibri"/>
      <family val="2"/>
      <scheme val="minor"/>
    </font>
    <font>
      <b/>
      <sz val="16"/>
      <color theme="0"/>
      <name val="Calibri"/>
      <family val="2"/>
      <scheme val="minor"/>
    </font>
    <font>
      <i/>
      <sz val="16"/>
      <color theme="1"/>
      <name val="Calibri"/>
      <family val="2"/>
      <scheme val="minor"/>
    </font>
    <font>
      <sz val="14"/>
      <color theme="1"/>
      <name val="Calibri"/>
      <family val="2"/>
      <scheme val="minor"/>
    </font>
    <font>
      <b/>
      <sz val="16"/>
      <color rgb="FF000000"/>
      <name val="Calibri"/>
      <family val="2"/>
      <scheme val="minor"/>
    </font>
    <font>
      <b/>
      <sz val="16"/>
      <color rgb="FFFF0000"/>
      <name val="Calibri"/>
      <family val="2"/>
      <scheme val="minor"/>
    </font>
    <font>
      <b/>
      <sz val="18"/>
      <color theme="1"/>
      <name val="Calibri"/>
      <family val="2"/>
      <scheme val="minor"/>
    </font>
    <font>
      <b/>
      <sz val="12"/>
      <color theme="1"/>
      <name val="Arial"/>
      <family val="2"/>
    </font>
    <font>
      <sz val="16"/>
      <name val="Calibri"/>
      <family val="2"/>
      <scheme val="minor"/>
    </font>
    <font>
      <sz val="14"/>
      <name val="Calibri"/>
      <family val="2"/>
      <scheme val="minor"/>
    </font>
    <font>
      <b/>
      <sz val="14"/>
      <color theme="0"/>
      <name val="Calibri"/>
      <family val="2"/>
      <scheme val="minor"/>
    </font>
    <font>
      <sz val="14"/>
      <color theme="0"/>
      <name val="Calibri"/>
      <family val="2"/>
      <scheme val="minor"/>
    </font>
    <font>
      <b/>
      <sz val="22"/>
      <color theme="1"/>
      <name val="Arial"/>
      <family val="2"/>
    </font>
    <font>
      <b/>
      <i/>
      <sz val="18"/>
      <color theme="1"/>
      <name val="Calibri"/>
      <family val="2"/>
      <scheme val="minor"/>
    </font>
    <font>
      <u/>
      <sz val="14"/>
      <color theme="10"/>
      <name val="Arial"/>
      <family val="2"/>
    </font>
    <font>
      <sz val="16"/>
      <color theme="1"/>
      <name val="Calibri"/>
      <family val="2"/>
      <scheme val="minor"/>
    </font>
    <font>
      <sz val="20"/>
      <color theme="1"/>
      <name val="Calibri"/>
      <family val="2"/>
      <scheme val="minor"/>
    </font>
    <font>
      <sz val="14"/>
      <color theme="1"/>
      <name val="Calibri"/>
      <family val="2"/>
      <scheme val="minor"/>
    </font>
    <font>
      <b/>
      <sz val="18"/>
      <color theme="1"/>
      <name val="Calibri"/>
      <family val="2"/>
      <scheme val="minor"/>
    </font>
    <font>
      <sz val="14"/>
      <color rgb="FFFF0000"/>
      <name val="Calibri"/>
      <family val="2"/>
      <scheme val="minor"/>
    </font>
    <font>
      <u/>
      <sz val="16"/>
      <color theme="10"/>
      <name val="Arial"/>
      <family val="2"/>
    </font>
    <font>
      <sz val="11"/>
      <color theme="1"/>
      <name val="Calibri"/>
      <family val="2"/>
      <scheme val="minor"/>
    </font>
    <font>
      <sz val="16"/>
      <color theme="1"/>
      <name val="Arial"/>
      <family val="2"/>
    </font>
    <font>
      <u/>
      <sz val="11"/>
      <color theme="1"/>
      <name val="Calibri"/>
      <family val="2"/>
      <scheme val="minor"/>
    </font>
    <font>
      <sz val="14"/>
      <color theme="4"/>
      <name val="Calibri"/>
      <family val="2"/>
      <scheme val="minor"/>
    </font>
    <font>
      <sz val="11"/>
      <color theme="4"/>
      <name val="Calibri"/>
      <family val="2"/>
      <scheme val="minor"/>
    </font>
    <font>
      <sz val="14"/>
      <name val="Arial"/>
      <family val="2"/>
    </font>
    <font>
      <sz val="11"/>
      <color theme="3"/>
      <name val="Calibri"/>
      <family val="2"/>
      <scheme val="minor"/>
    </font>
    <font>
      <sz val="9"/>
      <color rgb="FF1F1F1F"/>
      <name val="Georgia"/>
      <family val="1"/>
    </font>
    <font>
      <sz val="12"/>
      <color rgb="FF1F1F1F"/>
      <name val="Georgia"/>
      <family val="1"/>
    </font>
    <font>
      <i/>
      <sz val="14"/>
      <color theme="1"/>
      <name val="Calibri"/>
      <family val="2"/>
      <scheme val="minor"/>
    </font>
    <font>
      <b/>
      <sz val="14"/>
      <color rgb="FFFA0000"/>
      <name val="Calibri"/>
      <family val="2"/>
    </font>
    <font>
      <b/>
      <sz val="14"/>
      <name val="Calibri"/>
      <family val="2"/>
    </font>
    <font>
      <sz val="14"/>
      <name val="Calibri"/>
      <family val="2"/>
    </font>
    <font>
      <sz val="14"/>
      <color rgb="FFFA0000"/>
      <name val="Calibri"/>
      <family val="2"/>
    </font>
    <font>
      <sz val="16"/>
      <color theme="1"/>
      <name val="Calibri"/>
      <family val="2"/>
      <scheme val="minor"/>
    </font>
    <font>
      <sz val="26"/>
      <color theme="1"/>
      <name val="Calibri"/>
      <family val="2"/>
      <scheme val="minor"/>
    </font>
    <font>
      <sz val="22"/>
      <color theme="1"/>
      <name val="Calibri"/>
      <family val="2"/>
      <scheme val="minor"/>
    </font>
    <font>
      <b/>
      <sz val="11"/>
      <color rgb="FFFF0000"/>
      <name val="Arial"/>
      <family val="2"/>
    </font>
    <font>
      <b/>
      <sz val="16"/>
      <name val="Calibri"/>
      <family val="2"/>
      <scheme val="minor"/>
    </font>
    <font>
      <sz val="14"/>
      <color theme="1"/>
      <name val="Calibri"/>
      <family val="2"/>
      <scheme val="minor"/>
    </font>
    <font>
      <b/>
      <sz val="11"/>
      <color theme="4"/>
      <name val="Arial"/>
      <family val="2"/>
    </font>
    <font>
      <i/>
      <sz val="14"/>
      <name val="Calibri"/>
      <family val="2"/>
      <scheme val="minor"/>
    </font>
  </fonts>
  <fills count="45">
    <fill>
      <patternFill patternType="none"/>
    </fill>
    <fill>
      <patternFill patternType="gray125"/>
    </fill>
    <fill>
      <patternFill patternType="solid">
        <fgColor theme="2"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99CC"/>
      </patternFill>
    </fill>
    <fill>
      <patternFill patternType="solid">
        <fgColor rgb="FFFFFF99"/>
      </patternFill>
    </fill>
    <fill>
      <patternFill patternType="solid">
        <fgColor rgb="FF99CCFF"/>
      </patternFill>
    </fill>
    <fill>
      <patternFill patternType="solid">
        <fgColor indexed="22"/>
        <bgColor indexed="64"/>
      </patternFill>
    </fill>
    <fill>
      <patternFill patternType="solid">
        <fgColor rgb="FFC0C0C0"/>
      </patternFill>
    </fill>
    <fill>
      <patternFill patternType="solid">
        <fgColor rgb="FFCCFFFF"/>
      </patternFill>
    </fill>
    <fill>
      <patternFill patternType="solid">
        <fgColor rgb="FF92D050"/>
        <bgColor indexed="64"/>
      </patternFill>
    </fill>
    <fill>
      <patternFill patternType="solid">
        <fgColor rgb="FFBEBEBE"/>
      </patternFill>
    </fill>
    <fill>
      <patternFill patternType="solid">
        <fgColor rgb="FFFFC000"/>
        <bgColor indexed="64"/>
      </patternFill>
    </fill>
    <fill>
      <patternFill patternType="solid">
        <fgColor theme="5" tint="0.79998168889431442"/>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bgColor indexed="64"/>
      </patternFill>
    </fill>
    <fill>
      <patternFill patternType="solid">
        <fgColor rgb="FFBFBFBF"/>
        <bgColor rgb="FF000000"/>
      </patternFill>
    </fill>
    <fill>
      <patternFill patternType="solid">
        <fgColor rgb="FFBBDFFF"/>
        <bgColor rgb="FF000000"/>
      </patternFill>
    </fill>
    <fill>
      <patternFill patternType="solid">
        <fgColor rgb="FFE6D6ED"/>
        <bgColor rgb="FF000000"/>
      </patternFill>
    </fill>
    <fill>
      <patternFill patternType="solid">
        <fgColor rgb="FFFAD1D3"/>
        <bgColor rgb="FF000000"/>
      </patternFill>
    </fill>
    <fill>
      <patternFill patternType="solid">
        <fgColor rgb="FFD8EED7"/>
        <bgColor rgb="FF000000"/>
      </patternFill>
    </fill>
    <fill>
      <patternFill patternType="solid">
        <fgColor theme="3"/>
        <bgColor indexed="64"/>
      </patternFill>
    </fill>
    <fill>
      <patternFill patternType="solid">
        <fgColor theme="3"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499984740745262"/>
        <bgColor indexed="64"/>
      </patternFill>
    </fill>
  </fills>
  <borders count="9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16">
    <xf numFmtId="0" fontId="0" fillId="0" borderId="0"/>
    <xf numFmtId="0" fontId="11" fillId="0" borderId="0"/>
    <xf numFmtId="0" fontId="12" fillId="0" borderId="0"/>
    <xf numFmtId="0" fontId="16" fillId="0" borderId="0" applyNumberFormat="0" applyFill="0" applyBorder="0" applyAlignment="0" applyProtection="0"/>
    <xf numFmtId="0" fontId="13" fillId="0" borderId="1" applyNumberFormat="0" applyFill="0" applyAlignment="0" applyProtection="0"/>
    <xf numFmtId="0" fontId="14"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7" fillId="0" borderId="4" applyNumberFormat="0" applyFill="0" applyAlignment="0" applyProtection="0"/>
    <xf numFmtId="43" fontId="18" fillId="0" borderId="0" applyFont="0" applyFill="0" applyBorder="0" applyAlignment="0" applyProtection="0"/>
    <xf numFmtId="9" fontId="18" fillId="0" borderId="0" applyFont="0" applyFill="0" applyBorder="0" applyAlignment="0" applyProtection="0"/>
    <xf numFmtId="0" fontId="20" fillId="0" borderId="0" applyNumberForma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44" fontId="18" fillId="0" borderId="0" applyFont="0" applyFill="0" applyBorder="0" applyAlignment="0" applyProtection="0"/>
  </cellStyleXfs>
  <cellXfs count="1711">
    <xf numFmtId="0" fontId="0" fillId="0" borderId="0" xfId="0"/>
    <xf numFmtId="0" fontId="17" fillId="0" borderId="0" xfId="0" applyFont="1"/>
    <xf numFmtId="0" fontId="0" fillId="2" borderId="0" xfId="0" applyFill="1"/>
    <xf numFmtId="0" fontId="0" fillId="0" borderId="5" xfId="0" applyBorder="1"/>
    <xf numFmtId="164" fontId="17" fillId="0" borderId="0" xfId="9" applyNumberFormat="1" applyFont="1"/>
    <xf numFmtId="164" fontId="0" fillId="0" borderId="0" xfId="0" applyNumberFormat="1"/>
    <xf numFmtId="0" fontId="0" fillId="5" borderId="0" xfId="0" applyFill="1"/>
    <xf numFmtId="0" fontId="19" fillId="0" borderId="0" xfId="0" applyFont="1"/>
    <xf numFmtId="1" fontId="0" fillId="0" borderId="0" xfId="0" applyNumberFormat="1"/>
    <xf numFmtId="0" fontId="0" fillId="0" borderId="0" xfId="0" applyAlignment="1">
      <alignment vertical="center"/>
    </xf>
    <xf numFmtId="164" fontId="0" fillId="0" borderId="0" xfId="9" applyNumberFormat="1" applyFont="1"/>
    <xf numFmtId="1" fontId="0" fillId="6" borderId="0" xfId="0" applyNumberFormat="1" applyFill="1"/>
    <xf numFmtId="0" fontId="0" fillId="0" borderId="0" xfId="0" applyAlignment="1">
      <alignment wrapText="1"/>
    </xf>
    <xf numFmtId="0" fontId="0" fillId="0" borderId="9" xfId="0" applyBorder="1"/>
    <xf numFmtId="0" fontId="0" fillId="0" borderId="10" xfId="0" applyBorder="1"/>
    <xf numFmtId="0" fontId="0" fillId="0" borderId="15" xfId="0" applyBorder="1"/>
    <xf numFmtId="0" fontId="17" fillId="0" borderId="0" xfId="0" applyFont="1" applyAlignment="1">
      <alignment wrapText="1"/>
    </xf>
    <xf numFmtId="9" fontId="17" fillId="0" borderId="0" xfId="10" applyFont="1"/>
    <xf numFmtId="0" fontId="20" fillId="0" borderId="0" xfId="11"/>
    <xf numFmtId="3" fontId="0" fillId="0" borderId="0" xfId="0" applyNumberFormat="1"/>
    <xf numFmtId="9" fontId="0" fillId="0" borderId="0" xfId="10" applyFont="1"/>
    <xf numFmtId="9" fontId="0" fillId="0" borderId="0" xfId="0" applyNumberFormat="1"/>
    <xf numFmtId="164" fontId="22" fillId="0" borderId="0" xfId="9" applyNumberFormat="1" applyFont="1" applyAlignment="1">
      <alignment wrapText="1"/>
    </xf>
    <xf numFmtId="164" fontId="23" fillId="0" borderId="0" xfId="9" applyNumberFormat="1" applyFont="1" applyAlignment="1">
      <alignment wrapText="1"/>
    </xf>
    <xf numFmtId="0" fontId="21" fillId="0" borderId="0" xfId="0" applyFont="1" applyAlignment="1">
      <alignment wrapText="1"/>
    </xf>
    <xf numFmtId="9" fontId="17" fillId="0" borderId="0" xfId="0" applyNumberFormat="1" applyFont="1"/>
    <xf numFmtId="9" fontId="17" fillId="0" borderId="0" xfId="10" applyFont="1" applyFill="1" applyBorder="1" applyAlignment="1">
      <alignment horizontal="center" vertical="center"/>
    </xf>
    <xf numFmtId="0" fontId="0" fillId="0" borderId="0" xfId="0" applyAlignment="1">
      <alignment vertical="center" wrapText="1"/>
    </xf>
    <xf numFmtId="9" fontId="17" fillId="0" borderId="0" xfId="10" applyFont="1" applyFill="1" applyBorder="1" applyAlignment="1">
      <alignment horizontal="center" vertical="center" wrapText="1"/>
    </xf>
    <xf numFmtId="9" fontId="17" fillId="0" borderId="9" xfId="10" applyFont="1" applyFill="1" applyBorder="1" applyAlignment="1">
      <alignment horizontal="center" vertical="center"/>
    </xf>
    <xf numFmtId="9" fontId="17" fillId="0" borderId="0" xfId="0" applyNumberFormat="1" applyFont="1" applyAlignment="1">
      <alignment wrapText="1"/>
    </xf>
    <xf numFmtId="9" fontId="17" fillId="0" borderId="13" xfId="10" applyFont="1" applyFill="1" applyBorder="1" applyAlignment="1">
      <alignment horizontal="center" vertical="center"/>
    </xf>
    <xf numFmtId="0" fontId="21" fillId="0" borderId="9" xfId="0" applyFont="1" applyBorder="1" applyAlignment="1">
      <alignment wrapText="1"/>
    </xf>
    <xf numFmtId="164" fontId="21" fillId="0" borderId="9" xfId="9" applyNumberFormat="1" applyFont="1" applyFill="1" applyBorder="1" applyAlignment="1">
      <alignment wrapText="1"/>
    </xf>
    <xf numFmtId="0" fontId="21" fillId="0" borderId="10" xfId="0" applyFont="1" applyBorder="1" applyAlignment="1">
      <alignment wrapText="1"/>
    </xf>
    <xf numFmtId="9" fontId="17" fillId="0" borderId="10" xfId="10" applyFont="1" applyFill="1" applyBorder="1" applyAlignment="1">
      <alignment horizontal="center" vertical="center"/>
    </xf>
    <xf numFmtId="9" fontId="17" fillId="0" borderId="12" xfId="10" applyFont="1" applyFill="1" applyBorder="1" applyAlignment="1">
      <alignment horizontal="center" vertical="center"/>
    </xf>
    <xf numFmtId="9" fontId="17" fillId="0" borderId="15" xfId="10" applyFont="1" applyFill="1" applyBorder="1" applyAlignment="1">
      <alignment horizontal="center" vertical="center"/>
    </xf>
    <xf numFmtId="0" fontId="21" fillId="0" borderId="5" xfId="0" applyFont="1" applyBorder="1"/>
    <xf numFmtId="0" fontId="0" fillId="0" borderId="0" xfId="0" applyAlignment="1">
      <alignment horizontal="left"/>
    </xf>
    <xf numFmtId="9" fontId="18" fillId="0" borderId="9" xfId="10" applyFont="1" applyFill="1" applyBorder="1" applyAlignment="1">
      <alignment horizontal="center" vertical="center"/>
    </xf>
    <xf numFmtId="9" fontId="18" fillId="0" borderId="0" xfId="10" applyFont="1" applyFill="1" applyBorder="1" applyAlignment="1">
      <alignment horizontal="center" vertical="center"/>
    </xf>
    <xf numFmtId="9" fontId="18" fillId="0" borderId="0" xfId="10" applyFont="1" applyFill="1" applyBorder="1" applyAlignment="1">
      <alignment horizontal="center" vertical="center" wrapText="1"/>
    </xf>
    <xf numFmtId="0" fontId="21" fillId="0" borderId="8" xfId="0" applyFont="1" applyBorder="1" applyAlignment="1">
      <alignment wrapText="1"/>
    </xf>
    <xf numFmtId="9" fontId="18" fillId="0" borderId="8" xfId="10" applyFont="1" applyFill="1" applyBorder="1" applyAlignment="1">
      <alignment horizontal="center" vertical="center"/>
    </xf>
    <xf numFmtId="9" fontId="18" fillId="0" borderId="11" xfId="10" applyFont="1" applyFill="1" applyBorder="1" applyAlignment="1">
      <alignment horizontal="center" vertical="center"/>
    </xf>
    <xf numFmtId="9" fontId="18" fillId="0" borderId="14" xfId="10" applyFont="1" applyFill="1" applyBorder="1" applyAlignment="1">
      <alignment horizontal="center" vertical="center"/>
    </xf>
    <xf numFmtId="0" fontId="21" fillId="0" borderId="8" xfId="0" applyFont="1" applyBorder="1" applyAlignment="1">
      <alignment horizontal="left" wrapText="1"/>
    </xf>
    <xf numFmtId="0" fontId="0" fillId="0" borderId="11" xfId="0" applyBorder="1" applyAlignment="1">
      <alignment horizontal="left" vertical="center" wrapText="1"/>
    </xf>
    <xf numFmtId="9" fontId="18" fillId="0" borderId="12" xfId="10" applyFont="1" applyFill="1" applyBorder="1" applyAlignment="1">
      <alignment horizontal="center" vertical="center"/>
    </xf>
    <xf numFmtId="0" fontId="0" fillId="0" borderId="11" xfId="0" applyBorder="1" applyAlignment="1">
      <alignment horizontal="left" wrapText="1"/>
    </xf>
    <xf numFmtId="0" fontId="0" fillId="0" borderId="8" xfId="0" applyBorder="1" applyAlignment="1">
      <alignment horizontal="left" vertical="center" wrapText="1"/>
    </xf>
    <xf numFmtId="9" fontId="18" fillId="0" borderId="10" xfId="10" applyFont="1" applyFill="1" applyBorder="1" applyAlignment="1">
      <alignment horizontal="center" vertical="center"/>
    </xf>
    <xf numFmtId="9" fontId="18" fillId="0" borderId="15" xfId="10" applyFont="1" applyFill="1" applyBorder="1" applyAlignment="1">
      <alignment horizontal="center" vertical="center"/>
    </xf>
    <xf numFmtId="0" fontId="21" fillId="0" borderId="7" xfId="0" applyFont="1" applyBorder="1" applyAlignment="1">
      <alignment wrapText="1"/>
    </xf>
    <xf numFmtId="0" fontId="21" fillId="0" borderId="7" xfId="0" applyFont="1" applyBorder="1"/>
    <xf numFmtId="0" fontId="21" fillId="0" borderId="17" xfId="0" applyFont="1" applyBorder="1" applyAlignment="1">
      <alignment wrapText="1"/>
    </xf>
    <xf numFmtId="0" fontId="21" fillId="0" borderId="6" xfId="0" applyFont="1" applyBorder="1" applyAlignment="1">
      <alignment wrapText="1"/>
    </xf>
    <xf numFmtId="0" fontId="0" fillId="0" borderId="14" xfId="0" applyBorder="1" applyAlignment="1">
      <alignment horizontal="left" wrapText="1"/>
    </xf>
    <xf numFmtId="0" fontId="0" fillId="10" borderId="0" xfId="0" applyFill="1"/>
    <xf numFmtId="0" fontId="0" fillId="10" borderId="11" xfId="0" applyFill="1" applyBorder="1" applyAlignment="1">
      <alignment horizontal="left" vertical="center" wrapText="1"/>
    </xf>
    <xf numFmtId="9" fontId="18" fillId="10" borderId="12" xfId="10" applyFont="1" applyFill="1" applyBorder="1" applyAlignment="1">
      <alignment horizontal="center" vertical="center"/>
    </xf>
    <xf numFmtId="9" fontId="17" fillId="10" borderId="12" xfId="10" applyFont="1" applyFill="1" applyBorder="1" applyAlignment="1">
      <alignment horizontal="center" vertical="center"/>
    </xf>
    <xf numFmtId="9" fontId="17" fillId="10" borderId="0" xfId="10" applyFont="1" applyFill="1" applyBorder="1" applyAlignment="1">
      <alignment horizontal="center" vertical="center"/>
    </xf>
    <xf numFmtId="9" fontId="18" fillId="10" borderId="11" xfId="10" applyFont="1" applyFill="1" applyBorder="1" applyAlignment="1">
      <alignment vertical="center"/>
    </xf>
    <xf numFmtId="9" fontId="17" fillId="10" borderId="12" xfId="10" applyFont="1" applyFill="1" applyBorder="1" applyAlignment="1">
      <alignment vertical="center"/>
    </xf>
    <xf numFmtId="164" fontId="18" fillId="10" borderId="11" xfId="9" applyNumberFormat="1" applyFont="1" applyFill="1" applyBorder="1" applyAlignment="1">
      <alignment horizontal="center" vertical="center"/>
    </xf>
    <xf numFmtId="164" fontId="17" fillId="10" borderId="0" xfId="9" applyNumberFormat="1" applyFont="1" applyFill="1" applyBorder="1" applyAlignment="1">
      <alignment horizontal="center" vertical="center"/>
    </xf>
    <xf numFmtId="164" fontId="18" fillId="0" borderId="9" xfId="9" applyNumberFormat="1" applyFont="1" applyFill="1" applyBorder="1" applyAlignment="1">
      <alignment horizontal="right" vertical="center"/>
    </xf>
    <xf numFmtId="164" fontId="18" fillId="0" borderId="0" xfId="9" applyNumberFormat="1" applyFont="1" applyFill="1" applyBorder="1" applyAlignment="1">
      <alignment horizontal="right" vertical="center"/>
    </xf>
    <xf numFmtId="164" fontId="18" fillId="0" borderId="13" xfId="9" applyNumberFormat="1" applyFont="1" applyFill="1" applyBorder="1" applyAlignment="1">
      <alignment horizontal="right" vertical="center"/>
    </xf>
    <xf numFmtId="164" fontId="18" fillId="10" borderId="0" xfId="9" applyNumberFormat="1" applyFont="1" applyFill="1" applyBorder="1" applyAlignment="1">
      <alignment horizontal="right" vertical="center"/>
    </xf>
    <xf numFmtId="164" fontId="18" fillId="0" borderId="0" xfId="9" applyNumberFormat="1" applyFont="1" applyFill="1" applyBorder="1" applyAlignment="1">
      <alignment horizontal="right"/>
    </xf>
    <xf numFmtId="9" fontId="23" fillId="0" borderId="0" xfId="10" applyFont="1" applyAlignment="1">
      <alignment horizontal="center" wrapText="1"/>
    </xf>
    <xf numFmtId="9" fontId="18" fillId="0" borderId="0" xfId="10" applyFont="1" applyFill="1" applyBorder="1" applyAlignment="1">
      <alignment horizontal="left" vertical="center"/>
    </xf>
    <xf numFmtId="9" fontId="18" fillId="0" borderId="12" xfId="10" applyFont="1" applyFill="1" applyBorder="1" applyAlignment="1">
      <alignment horizontal="left" vertical="center"/>
    </xf>
    <xf numFmtId="166" fontId="17" fillId="0" borderId="11" xfId="10" applyNumberFormat="1" applyFont="1" applyFill="1" applyBorder="1" applyAlignment="1">
      <alignment horizontal="center" vertical="center"/>
    </xf>
    <xf numFmtId="166" fontId="17" fillId="0" borderId="12" xfId="10" applyNumberFormat="1" applyFont="1" applyFill="1" applyBorder="1" applyAlignment="1">
      <alignment horizontal="center" vertical="center"/>
    </xf>
    <xf numFmtId="166" fontId="17" fillId="0" borderId="8" xfId="10" applyNumberFormat="1" applyFont="1" applyFill="1" applyBorder="1" applyAlignment="1">
      <alignment horizontal="center" vertical="center"/>
    </xf>
    <xf numFmtId="166" fontId="17" fillId="0" borderId="10" xfId="10" applyNumberFormat="1" applyFont="1" applyFill="1" applyBorder="1" applyAlignment="1">
      <alignment horizontal="center" vertical="center"/>
    </xf>
    <xf numFmtId="166" fontId="17" fillId="10" borderId="11" xfId="10" applyNumberFormat="1" applyFont="1" applyFill="1" applyBorder="1" applyAlignment="1">
      <alignment horizontal="center" vertical="center"/>
    </xf>
    <xf numFmtId="166" fontId="17" fillId="10" borderId="12" xfId="10" applyNumberFormat="1" applyFont="1" applyFill="1" applyBorder="1" applyAlignment="1">
      <alignment horizontal="center" vertical="center"/>
    </xf>
    <xf numFmtId="166" fontId="17" fillId="0" borderId="14" xfId="10" applyNumberFormat="1" applyFont="1" applyFill="1" applyBorder="1" applyAlignment="1">
      <alignment horizontal="center" vertical="center"/>
    </xf>
    <xf numFmtId="166" fontId="17" fillId="0" borderId="15" xfId="10" applyNumberFormat="1" applyFont="1" applyFill="1" applyBorder="1" applyAlignment="1">
      <alignment horizontal="center" vertical="center"/>
    </xf>
    <xf numFmtId="166" fontId="17" fillId="10" borderId="8" xfId="10" applyNumberFormat="1" applyFont="1" applyFill="1" applyBorder="1" applyAlignment="1">
      <alignment horizontal="center" vertical="center"/>
    </xf>
    <xf numFmtId="166" fontId="17" fillId="10" borderId="10" xfId="10" applyNumberFormat="1" applyFont="1" applyFill="1" applyBorder="1" applyAlignment="1">
      <alignment horizontal="center" vertical="center"/>
    </xf>
    <xf numFmtId="166" fontId="17" fillId="10" borderId="14" xfId="10" applyNumberFormat="1" applyFont="1" applyFill="1" applyBorder="1" applyAlignment="1">
      <alignment horizontal="center" vertical="center"/>
    </xf>
    <xf numFmtId="166" fontId="17" fillId="10" borderId="15" xfId="10" applyNumberFormat="1" applyFont="1" applyFill="1" applyBorder="1" applyAlignment="1">
      <alignment horizontal="center" vertical="center"/>
    </xf>
    <xf numFmtId="0" fontId="17" fillId="0" borderId="0" xfId="0" applyFont="1" applyAlignment="1">
      <alignment horizontal="left" wrapText="1"/>
    </xf>
    <xf numFmtId="166" fontId="17" fillId="0" borderId="0" xfId="10" applyNumberFormat="1" applyFont="1" applyFill="1" applyBorder="1" applyAlignment="1">
      <alignment horizontal="center" vertical="center"/>
    </xf>
    <xf numFmtId="0" fontId="0" fillId="9" borderId="0" xfId="0" applyFill="1"/>
    <xf numFmtId="164" fontId="0" fillId="0" borderId="9" xfId="9" applyNumberFormat="1" applyFont="1" applyBorder="1" applyAlignment="1">
      <alignment horizontal="right" vertical="center"/>
    </xf>
    <xf numFmtId="0" fontId="20" fillId="0" borderId="12" xfId="11" applyBorder="1" applyAlignment="1">
      <alignment horizontal="left"/>
    </xf>
    <xf numFmtId="9" fontId="17" fillId="10" borderId="12" xfId="10" applyFont="1" applyFill="1" applyBorder="1" applyAlignment="1">
      <alignment horizontal="left" vertical="center"/>
    </xf>
    <xf numFmtId="9" fontId="20" fillId="0" borderId="10" xfId="11" applyNumberFormat="1" applyFill="1" applyBorder="1" applyAlignment="1">
      <alignment horizontal="left" vertical="center"/>
    </xf>
    <xf numFmtId="9" fontId="17" fillId="0" borderId="12" xfId="10" applyFont="1" applyFill="1" applyBorder="1" applyAlignment="1">
      <alignment horizontal="left" vertical="center"/>
    </xf>
    <xf numFmtId="9" fontId="20" fillId="0" borderId="12" xfId="11" applyNumberFormat="1" applyFill="1" applyBorder="1" applyAlignment="1">
      <alignment horizontal="left" vertical="center"/>
    </xf>
    <xf numFmtId="0" fontId="20" fillId="0" borderId="15" xfId="11" applyBorder="1" applyAlignment="1">
      <alignment horizontal="left"/>
    </xf>
    <xf numFmtId="164" fontId="17" fillId="10" borderId="12" xfId="9" applyNumberFormat="1" applyFont="1" applyFill="1" applyBorder="1" applyAlignment="1">
      <alignment horizontal="left" vertical="center"/>
    </xf>
    <xf numFmtId="164" fontId="23" fillId="0" borderId="0" xfId="9" applyNumberFormat="1" applyFont="1" applyAlignment="1">
      <alignment horizontal="left" wrapText="1"/>
    </xf>
    <xf numFmtId="0" fontId="0" fillId="0" borderId="13" xfId="0" applyBorder="1" applyAlignment="1">
      <alignment horizontal="left" vertical="center"/>
    </xf>
    <xf numFmtId="0" fontId="0" fillId="9" borderId="11" xfId="0" applyFill="1" applyBorder="1" applyAlignment="1">
      <alignment horizontal="left" vertical="center" wrapText="1"/>
    </xf>
    <xf numFmtId="164" fontId="18" fillId="9" borderId="0" xfId="9" applyNumberFormat="1" applyFont="1" applyFill="1" applyBorder="1" applyAlignment="1">
      <alignment horizontal="right" vertical="center"/>
    </xf>
    <xf numFmtId="9" fontId="18" fillId="9" borderId="12" xfId="10" applyFont="1" applyFill="1" applyBorder="1" applyAlignment="1">
      <alignment horizontal="center" vertical="center"/>
    </xf>
    <xf numFmtId="9" fontId="18" fillId="9" borderId="11" xfId="10" applyFont="1" applyFill="1" applyBorder="1" applyAlignment="1">
      <alignment horizontal="center" vertical="center"/>
    </xf>
    <xf numFmtId="9" fontId="17" fillId="9" borderId="12" xfId="10" applyFont="1" applyFill="1" applyBorder="1" applyAlignment="1">
      <alignment horizontal="left" vertical="center"/>
    </xf>
    <xf numFmtId="9" fontId="17" fillId="9" borderId="0" xfId="10" applyFont="1" applyFill="1" applyBorder="1" applyAlignment="1">
      <alignment horizontal="center" vertical="center"/>
    </xf>
    <xf numFmtId="9" fontId="17" fillId="9" borderId="12" xfId="10" applyFont="1" applyFill="1" applyBorder="1" applyAlignment="1">
      <alignment horizontal="center" vertical="center"/>
    </xf>
    <xf numFmtId="166" fontId="17" fillId="9" borderId="11" xfId="10" applyNumberFormat="1" applyFont="1" applyFill="1" applyBorder="1" applyAlignment="1">
      <alignment horizontal="center" vertical="center"/>
    </xf>
    <xf numFmtId="0" fontId="0" fillId="9" borderId="9" xfId="0" applyFill="1" applyBorder="1"/>
    <xf numFmtId="9" fontId="18" fillId="9" borderId="10" xfId="10" applyFont="1" applyFill="1" applyBorder="1" applyAlignment="1">
      <alignment horizontal="center" vertical="center"/>
    </xf>
    <xf numFmtId="9" fontId="17" fillId="9" borderId="9" xfId="10" applyFont="1" applyFill="1" applyBorder="1" applyAlignment="1">
      <alignment horizontal="center" vertical="center"/>
    </xf>
    <xf numFmtId="164" fontId="18" fillId="9" borderId="0" xfId="9" applyNumberFormat="1" applyFont="1" applyFill="1" applyBorder="1" applyAlignment="1">
      <alignment horizontal="right" vertical="center" wrapText="1"/>
    </xf>
    <xf numFmtId="9" fontId="18" fillId="9" borderId="11" xfId="10" applyFont="1" applyFill="1" applyBorder="1" applyAlignment="1">
      <alignment horizontal="center" vertical="center" wrapText="1"/>
    </xf>
    <xf numFmtId="9" fontId="17" fillId="9" borderId="12" xfId="10" applyFont="1" applyFill="1" applyBorder="1" applyAlignment="1">
      <alignment horizontal="left" vertical="center" wrapText="1"/>
    </xf>
    <xf numFmtId="9" fontId="17" fillId="9" borderId="12" xfId="10" applyFont="1" applyFill="1" applyBorder="1" applyAlignment="1">
      <alignment horizontal="center" vertical="center" wrapText="1"/>
    </xf>
    <xf numFmtId="0" fontId="0" fillId="9" borderId="13" xfId="0" applyFill="1" applyBorder="1"/>
    <xf numFmtId="0" fontId="0" fillId="9" borderId="14" xfId="0" applyFill="1" applyBorder="1" applyAlignment="1">
      <alignment horizontal="left" vertical="center" wrapText="1"/>
    </xf>
    <xf numFmtId="164" fontId="18" fillId="9" borderId="13" xfId="9" applyNumberFormat="1" applyFont="1" applyFill="1" applyBorder="1" applyAlignment="1">
      <alignment horizontal="right" vertical="center" wrapText="1"/>
    </xf>
    <xf numFmtId="9" fontId="18" fillId="9" borderId="15" xfId="10" applyFont="1" applyFill="1" applyBorder="1" applyAlignment="1">
      <alignment horizontal="center" vertical="center"/>
    </xf>
    <xf numFmtId="9" fontId="18" fillId="9" borderId="14" xfId="10" applyFont="1" applyFill="1" applyBorder="1" applyAlignment="1">
      <alignment horizontal="center" vertical="center" wrapText="1"/>
    </xf>
    <xf numFmtId="9" fontId="17" fillId="9" borderId="15" xfId="10" applyFont="1" applyFill="1" applyBorder="1" applyAlignment="1">
      <alignment horizontal="left" vertical="center" wrapText="1"/>
    </xf>
    <xf numFmtId="9" fontId="17" fillId="9" borderId="13" xfId="10" applyFont="1" applyFill="1" applyBorder="1" applyAlignment="1">
      <alignment horizontal="center" vertical="center"/>
    </xf>
    <xf numFmtId="9" fontId="17" fillId="9" borderId="15" xfId="10" applyFont="1" applyFill="1" applyBorder="1" applyAlignment="1">
      <alignment horizontal="center" vertical="center" wrapText="1"/>
    </xf>
    <xf numFmtId="166" fontId="17" fillId="9" borderId="14" xfId="10" applyNumberFormat="1" applyFont="1" applyFill="1" applyBorder="1" applyAlignment="1">
      <alignment horizontal="center" vertical="center"/>
    </xf>
    <xf numFmtId="9" fontId="0" fillId="0" borderId="11" xfId="10" applyFont="1" applyBorder="1" applyAlignment="1">
      <alignment horizontal="center" vertical="center"/>
    </xf>
    <xf numFmtId="164" fontId="0" fillId="0" borderId="0" xfId="9" applyNumberFormat="1" applyFont="1" applyBorder="1" applyAlignment="1">
      <alignment horizontal="right" vertical="center"/>
    </xf>
    <xf numFmtId="166" fontId="17" fillId="9" borderId="0" xfId="10" applyNumberFormat="1" applyFont="1" applyFill="1" applyBorder="1" applyAlignment="1">
      <alignment horizontal="center" vertical="center"/>
    </xf>
    <xf numFmtId="166" fontId="17" fillId="10" borderId="0" xfId="10" applyNumberFormat="1" applyFont="1" applyFill="1" applyBorder="1" applyAlignment="1">
      <alignment horizontal="center" vertical="center"/>
    </xf>
    <xf numFmtId="166" fontId="17" fillId="0" borderId="13" xfId="10" applyNumberFormat="1" applyFont="1" applyFill="1" applyBorder="1" applyAlignment="1">
      <alignment horizontal="center" vertical="center"/>
    </xf>
    <xf numFmtId="166" fontId="17" fillId="0" borderId="9" xfId="10" applyNumberFormat="1" applyFont="1" applyFill="1" applyBorder="1" applyAlignment="1">
      <alignment horizontal="center" vertical="center"/>
    </xf>
    <xf numFmtId="166" fontId="17" fillId="10" borderId="13" xfId="10" applyNumberFormat="1" applyFont="1" applyFill="1" applyBorder="1" applyAlignment="1">
      <alignment horizontal="center" vertical="center"/>
    </xf>
    <xf numFmtId="166" fontId="17" fillId="9" borderId="13" xfId="10" applyNumberFormat="1" applyFont="1" applyFill="1" applyBorder="1" applyAlignment="1">
      <alignment horizontal="center" vertical="center"/>
    </xf>
    <xf numFmtId="166" fontId="17" fillId="8" borderId="15" xfId="10" applyNumberFormat="1" applyFont="1" applyFill="1" applyBorder="1" applyAlignment="1">
      <alignment horizontal="center" vertical="center"/>
    </xf>
    <xf numFmtId="166" fontId="17" fillId="8" borderId="12" xfId="10" applyNumberFormat="1" applyFont="1" applyFill="1" applyBorder="1" applyAlignment="1">
      <alignment horizontal="center" vertical="center"/>
    </xf>
    <xf numFmtId="166" fontId="17" fillId="10" borderId="9" xfId="10" applyNumberFormat="1" applyFont="1" applyFill="1" applyBorder="1" applyAlignment="1">
      <alignment horizontal="center" vertical="center"/>
    </xf>
    <xf numFmtId="0" fontId="0" fillId="8" borderId="13" xfId="0" applyFill="1" applyBorder="1"/>
    <xf numFmtId="0" fontId="0" fillId="8" borderId="14" xfId="0" applyFill="1" applyBorder="1" applyAlignment="1">
      <alignment vertical="center" wrapText="1"/>
    </xf>
    <xf numFmtId="164" fontId="0" fillId="8" borderId="13" xfId="9" applyNumberFormat="1" applyFont="1" applyFill="1" applyBorder="1" applyAlignment="1">
      <alignment horizontal="right" vertical="center"/>
    </xf>
    <xf numFmtId="9" fontId="18" fillId="8" borderId="15" xfId="10" applyFont="1" applyFill="1" applyBorder="1" applyAlignment="1">
      <alignment horizontal="center" vertical="center"/>
    </xf>
    <xf numFmtId="9" fontId="18" fillId="8" borderId="14" xfId="10" applyFont="1" applyFill="1" applyBorder="1" applyAlignment="1">
      <alignment horizontal="center" vertical="center"/>
    </xf>
    <xf numFmtId="9" fontId="17" fillId="8" borderId="15" xfId="10" applyFont="1" applyFill="1" applyBorder="1" applyAlignment="1">
      <alignment horizontal="left" vertical="center"/>
    </xf>
    <xf numFmtId="9" fontId="17" fillId="8" borderId="13" xfId="10" applyFont="1" applyFill="1" applyBorder="1" applyAlignment="1">
      <alignment horizontal="center" vertical="center"/>
    </xf>
    <xf numFmtId="9" fontId="17" fillId="8" borderId="15" xfId="10" applyFont="1" applyFill="1" applyBorder="1" applyAlignment="1">
      <alignment horizontal="center" vertical="center"/>
    </xf>
    <xf numFmtId="166" fontId="17" fillId="8" borderId="11" xfId="10" applyNumberFormat="1" applyFont="1" applyFill="1" applyBorder="1" applyAlignment="1">
      <alignment horizontal="center" vertical="center"/>
    </xf>
    <xf numFmtId="166" fontId="17" fillId="8" borderId="0" xfId="10" applyNumberFormat="1" applyFont="1" applyFill="1" applyBorder="1" applyAlignment="1">
      <alignment horizontal="center" vertical="center"/>
    </xf>
    <xf numFmtId="9" fontId="18" fillId="11" borderId="12" xfId="10" applyFont="1" applyFill="1" applyBorder="1" applyAlignment="1">
      <alignment horizontal="left" vertical="center" wrapText="1"/>
    </xf>
    <xf numFmtId="0" fontId="0" fillId="8" borderId="9" xfId="0" applyFill="1" applyBorder="1"/>
    <xf numFmtId="164" fontId="18" fillId="8" borderId="8" xfId="9" applyNumberFormat="1" applyFont="1" applyFill="1" applyBorder="1" applyAlignment="1">
      <alignment horizontal="center" vertical="center"/>
    </xf>
    <xf numFmtId="164" fontId="17" fillId="8" borderId="10" xfId="9" applyNumberFormat="1" applyFont="1" applyFill="1" applyBorder="1" applyAlignment="1">
      <alignment horizontal="left" vertical="center"/>
    </xf>
    <xf numFmtId="9" fontId="17" fillId="8" borderId="9" xfId="10" applyFont="1" applyFill="1" applyBorder="1" applyAlignment="1">
      <alignment horizontal="center" vertical="center"/>
    </xf>
    <xf numFmtId="164" fontId="17" fillId="8" borderId="10" xfId="9" applyNumberFormat="1" applyFont="1" applyFill="1" applyBorder="1" applyAlignment="1">
      <alignment horizontal="center" vertical="center"/>
    </xf>
    <xf numFmtId="0" fontId="0" fillId="10" borderId="8" xfId="0" applyFill="1" applyBorder="1"/>
    <xf numFmtId="0" fontId="0" fillId="8" borderId="14" xfId="0" applyFill="1" applyBorder="1"/>
    <xf numFmtId="10" fontId="0" fillId="0" borderId="0" xfId="10" applyNumberFormat="1" applyFont="1"/>
    <xf numFmtId="164" fontId="17" fillId="0" borderId="12" xfId="9" applyNumberFormat="1" applyFont="1" applyFill="1" applyBorder="1" applyAlignment="1">
      <alignment horizontal="left" vertical="center"/>
    </xf>
    <xf numFmtId="164" fontId="17" fillId="0" borderId="0" xfId="9" applyNumberFormat="1" applyFont="1" applyFill="1" applyBorder="1" applyAlignment="1">
      <alignment horizontal="center" vertical="center"/>
    </xf>
    <xf numFmtId="164" fontId="17" fillId="0" borderId="12" xfId="9" applyNumberFormat="1" applyFont="1" applyFill="1" applyBorder="1" applyAlignment="1">
      <alignment horizontal="center" vertical="center"/>
    </xf>
    <xf numFmtId="164" fontId="20" fillId="0" borderId="12" xfId="11" applyNumberFormat="1" applyFill="1" applyBorder="1" applyAlignment="1">
      <alignment horizontal="left" vertical="center"/>
    </xf>
    <xf numFmtId="2" fontId="0" fillId="0" borderId="0" xfId="0" applyNumberFormat="1"/>
    <xf numFmtId="168" fontId="0" fillId="0" borderId="0" xfId="0" applyNumberFormat="1"/>
    <xf numFmtId="166" fontId="0" fillId="0" borderId="11" xfId="10" applyNumberFormat="1" applyFont="1" applyBorder="1" applyAlignment="1">
      <alignment horizontal="center" vertical="center"/>
    </xf>
    <xf numFmtId="166" fontId="17" fillId="0" borderId="11" xfId="10" applyNumberFormat="1" applyFont="1" applyBorder="1" applyAlignment="1">
      <alignment horizontal="center" vertical="center"/>
    </xf>
    <xf numFmtId="166" fontId="17" fillId="0" borderId="0" xfId="10" applyNumberFormat="1" applyFont="1" applyBorder="1" applyAlignment="1">
      <alignment horizontal="center" vertical="center"/>
    </xf>
    <xf numFmtId="166" fontId="17" fillId="0" borderId="12" xfId="10" applyNumberFormat="1" applyFont="1" applyBorder="1" applyAlignment="1">
      <alignment horizontal="center" vertical="center"/>
    </xf>
    <xf numFmtId="164" fontId="0" fillId="0" borderId="0" xfId="9" applyNumberFormat="1" applyFont="1" applyFill="1" applyBorder="1" applyAlignment="1">
      <alignment horizontal="center" vertical="center" wrapText="1"/>
    </xf>
    <xf numFmtId="10" fontId="18" fillId="0" borderId="11" xfId="10" applyNumberFormat="1" applyFont="1" applyFill="1" applyBorder="1" applyAlignment="1">
      <alignment horizontal="center" vertical="center"/>
    </xf>
    <xf numFmtId="0" fontId="20" fillId="0" borderId="0" xfId="11" applyAlignment="1">
      <alignment wrapText="1"/>
    </xf>
    <xf numFmtId="9" fontId="0" fillId="0" borderId="0" xfId="10" applyFont="1" applyAlignment="1">
      <alignment wrapText="1"/>
    </xf>
    <xf numFmtId="9" fontId="0" fillId="0" borderId="12" xfId="10" applyFont="1" applyFill="1" applyBorder="1" applyAlignment="1">
      <alignment horizontal="center" vertical="center"/>
    </xf>
    <xf numFmtId="9" fontId="17" fillId="0" borderId="0" xfId="10" applyFont="1" applyFill="1" applyBorder="1" applyAlignment="1">
      <alignment vertical="center"/>
    </xf>
    <xf numFmtId="9" fontId="17" fillId="0" borderId="9" xfId="10" applyFont="1" applyFill="1" applyBorder="1" applyAlignment="1">
      <alignment horizontal="center" vertical="center" wrapText="1"/>
    </xf>
    <xf numFmtId="9" fontId="17" fillId="0" borderId="13" xfId="10" applyFont="1" applyFill="1" applyBorder="1" applyAlignment="1">
      <alignment horizontal="center" vertical="center" wrapText="1"/>
    </xf>
    <xf numFmtId="9" fontId="17" fillId="0" borderId="0" xfId="10" applyFont="1" applyFill="1" applyAlignment="1">
      <alignment horizontal="center" vertical="center"/>
    </xf>
    <xf numFmtId="164" fontId="17" fillId="0" borderId="9" xfId="9" applyNumberFormat="1" applyFont="1" applyFill="1" applyBorder="1" applyAlignment="1">
      <alignment horizontal="center" vertical="center"/>
    </xf>
    <xf numFmtId="164" fontId="23" fillId="0" borderId="0" xfId="9" applyNumberFormat="1" applyFont="1" applyFill="1" applyAlignment="1">
      <alignment wrapText="1"/>
    </xf>
    <xf numFmtId="164" fontId="23" fillId="12" borderId="0" xfId="9" applyNumberFormat="1" applyFont="1" applyFill="1" applyBorder="1" applyAlignment="1">
      <alignment wrapText="1"/>
    </xf>
    <xf numFmtId="0" fontId="0" fillId="7" borderId="0" xfId="0" applyFill="1"/>
    <xf numFmtId="0" fontId="24" fillId="0" borderId="0" xfId="0" applyFont="1"/>
    <xf numFmtId="0" fontId="24" fillId="0" borderId="0" xfId="0" applyFont="1" applyAlignment="1">
      <alignment horizontal="center" wrapText="1"/>
    </xf>
    <xf numFmtId="0" fontId="24" fillId="0" borderId="0" xfId="0" applyFont="1" applyAlignment="1">
      <alignment horizontal="center" vertical="center" wrapText="1"/>
    </xf>
    <xf numFmtId="0" fontId="28" fillId="13" borderId="23" xfId="0" applyFont="1" applyFill="1" applyBorder="1" applyAlignment="1">
      <alignment horizontal="left" vertical="top" wrapText="1" indent="1"/>
    </xf>
    <xf numFmtId="0" fontId="24" fillId="8" borderId="27" xfId="0" applyFont="1" applyFill="1" applyBorder="1"/>
    <xf numFmtId="4" fontId="0" fillId="0" borderId="0" xfId="0" applyNumberFormat="1"/>
    <xf numFmtId="0" fontId="28" fillId="15" borderId="23" xfId="0" applyFont="1" applyFill="1" applyBorder="1" applyAlignment="1">
      <alignment horizontal="left" vertical="top" wrapText="1" indent="2"/>
    </xf>
    <xf numFmtId="0" fontId="29" fillId="15" borderId="23" xfId="0" applyFont="1" applyFill="1" applyBorder="1" applyAlignment="1">
      <alignment horizontal="left" vertical="top" wrapText="1" indent="1"/>
    </xf>
    <xf numFmtId="0" fontId="30" fillId="15" borderId="23" xfId="0" applyFont="1" applyFill="1" applyBorder="1" applyAlignment="1">
      <alignment horizontal="left" vertical="top" wrapText="1" indent="2"/>
    </xf>
    <xf numFmtId="0" fontId="30" fillId="15" borderId="23" xfId="0" applyFont="1" applyFill="1" applyBorder="1" applyAlignment="1">
      <alignment horizontal="left" vertical="top" wrapText="1" indent="1"/>
    </xf>
    <xf numFmtId="0" fontId="30" fillId="0" borderId="0" xfId="0" applyFont="1" applyAlignment="1">
      <alignment horizontal="left" vertical="top"/>
    </xf>
    <xf numFmtId="0" fontId="24" fillId="16" borderId="34" xfId="0" applyFont="1" applyFill="1" applyBorder="1" applyAlignment="1">
      <alignment horizontal="center" wrapText="1"/>
    </xf>
    <xf numFmtId="0" fontId="24" fillId="16" borderId="35" xfId="0" applyFont="1" applyFill="1" applyBorder="1" applyAlignment="1">
      <alignment horizontal="center" vertical="center" wrapText="1"/>
    </xf>
    <xf numFmtId="0" fontId="24" fillId="16" borderId="8" xfId="0" applyFont="1" applyFill="1" applyBorder="1" applyAlignment="1">
      <alignment horizontal="center" vertical="center" wrapText="1"/>
    </xf>
    <xf numFmtId="0" fontId="24" fillId="16" borderId="36" xfId="0" applyFont="1" applyFill="1" applyBorder="1" applyAlignment="1">
      <alignment horizontal="center" vertical="center" wrapText="1"/>
    </xf>
    <xf numFmtId="0" fontId="24" fillId="16" borderId="37" xfId="0" applyFont="1" applyFill="1" applyBorder="1" applyAlignment="1">
      <alignment horizontal="center" vertical="center" wrapText="1"/>
    </xf>
    <xf numFmtId="0" fontId="24" fillId="16" borderId="11" xfId="0" applyFont="1" applyFill="1" applyBorder="1" applyAlignment="1">
      <alignment horizontal="center" vertical="center" wrapText="1"/>
    </xf>
    <xf numFmtId="0" fontId="24" fillId="16" borderId="38" xfId="0" applyFont="1" applyFill="1" applyBorder="1" applyAlignment="1">
      <alignment horizontal="center" vertical="center" wrapText="1"/>
    </xf>
    <xf numFmtId="0" fontId="28" fillId="18" borderId="23" xfId="0" applyFont="1" applyFill="1" applyBorder="1" applyAlignment="1">
      <alignment horizontal="left" vertical="top" wrapText="1" indent="2"/>
    </xf>
    <xf numFmtId="0" fontId="29" fillId="18" borderId="23" xfId="0" applyFont="1" applyFill="1" applyBorder="1" applyAlignment="1">
      <alignment horizontal="right" vertical="top" wrapText="1"/>
    </xf>
    <xf numFmtId="0" fontId="29" fillId="18" borderId="23" xfId="0" applyFont="1" applyFill="1" applyBorder="1" applyAlignment="1">
      <alignment horizontal="left" vertical="top" wrapText="1"/>
    </xf>
    <xf numFmtId="0" fontId="24" fillId="16" borderId="18" xfId="0" applyFont="1" applyFill="1" applyBorder="1" applyAlignment="1">
      <alignment horizontal="center" wrapText="1"/>
    </xf>
    <xf numFmtId="0" fontId="24" fillId="16" borderId="39" xfId="0" applyFont="1" applyFill="1" applyBorder="1" applyAlignment="1">
      <alignment horizontal="center" vertical="center" wrapText="1"/>
    </xf>
    <xf numFmtId="0" fontId="24" fillId="16" borderId="40" xfId="0" applyFont="1" applyFill="1" applyBorder="1" applyAlignment="1">
      <alignment horizontal="center" vertical="center" wrapText="1"/>
    </xf>
    <xf numFmtId="0" fontId="24" fillId="16" borderId="41" xfId="0" applyFont="1" applyFill="1" applyBorder="1" applyAlignment="1">
      <alignment horizontal="center" vertical="center" wrapText="1"/>
    </xf>
    <xf numFmtId="2" fontId="34" fillId="0" borderId="23" xfId="0" applyNumberFormat="1" applyFont="1" applyBorder="1" applyAlignment="1">
      <alignment horizontal="right" vertical="top" shrinkToFit="1"/>
    </xf>
    <xf numFmtId="1" fontId="34" fillId="0" borderId="23" xfId="0" applyNumberFormat="1" applyFont="1" applyBorder="1" applyAlignment="1">
      <alignment horizontal="right" vertical="top" shrinkToFit="1"/>
    </xf>
    <xf numFmtId="167" fontId="34" fillId="0" borderId="23" xfId="0" applyNumberFormat="1" applyFont="1" applyBorder="1" applyAlignment="1">
      <alignment horizontal="right" vertical="top" shrinkToFit="1"/>
    </xf>
    <xf numFmtId="3" fontId="34" fillId="0" borderId="23" xfId="0" applyNumberFormat="1" applyFont="1" applyBorder="1" applyAlignment="1">
      <alignment horizontal="right" vertical="top" shrinkToFit="1"/>
    </xf>
    <xf numFmtId="171" fontId="36" fillId="0" borderId="23" xfId="0" applyNumberFormat="1" applyFont="1" applyBorder="1" applyAlignment="1">
      <alignment horizontal="right" vertical="top" shrinkToFit="1"/>
    </xf>
    <xf numFmtId="2" fontId="36" fillId="0" borderId="23" xfId="0" applyNumberFormat="1" applyFont="1" applyBorder="1" applyAlignment="1">
      <alignment horizontal="right" vertical="top" shrinkToFit="1"/>
    </xf>
    <xf numFmtId="167" fontId="36" fillId="0" borderId="23" xfId="0" applyNumberFormat="1" applyFont="1" applyBorder="1" applyAlignment="1">
      <alignment horizontal="right" vertical="top" shrinkToFit="1"/>
    </xf>
    <xf numFmtId="170" fontId="36" fillId="0" borderId="23" xfId="0" applyNumberFormat="1" applyFont="1" applyBorder="1" applyAlignment="1">
      <alignment horizontal="right" vertical="top" shrinkToFit="1"/>
    </xf>
    <xf numFmtId="172" fontId="0" fillId="0" borderId="0" xfId="0" applyNumberFormat="1"/>
    <xf numFmtId="171" fontId="40" fillId="0" borderId="23" xfId="0" applyNumberFormat="1" applyFont="1" applyBorder="1" applyAlignment="1">
      <alignment horizontal="right" vertical="top" shrinkToFit="1"/>
    </xf>
    <xf numFmtId="2" fontId="40" fillId="0" borderId="23" xfId="0" applyNumberFormat="1" applyFont="1" applyBorder="1" applyAlignment="1">
      <alignment horizontal="right" vertical="top" shrinkToFit="1"/>
    </xf>
    <xf numFmtId="169" fontId="40" fillId="0" borderId="23" xfId="0" applyNumberFormat="1" applyFont="1" applyBorder="1" applyAlignment="1">
      <alignment horizontal="right" vertical="top" shrinkToFit="1"/>
    </xf>
    <xf numFmtId="170" fontId="40" fillId="0" borderId="23" xfId="0" applyNumberFormat="1" applyFont="1" applyBorder="1" applyAlignment="1">
      <alignment horizontal="right" vertical="top" shrinkToFit="1"/>
    </xf>
    <xf numFmtId="167" fontId="40" fillId="0" borderId="23" xfId="0" applyNumberFormat="1" applyFont="1" applyBorder="1" applyAlignment="1">
      <alignment horizontal="right" vertical="top" shrinkToFit="1"/>
    </xf>
    <xf numFmtId="0" fontId="0" fillId="0" borderId="45" xfId="0" applyBorder="1"/>
    <xf numFmtId="0" fontId="0" fillId="0" borderId="46" xfId="0" applyBorder="1"/>
    <xf numFmtId="11" fontId="0" fillId="0" borderId="0" xfId="0" applyNumberFormat="1"/>
    <xf numFmtId="0" fontId="0" fillId="0" borderId="20" xfId="0" applyBorder="1"/>
    <xf numFmtId="0" fontId="0" fillId="0" borderId="19" xfId="0" applyBorder="1"/>
    <xf numFmtId="0" fontId="0" fillId="0" borderId="47" xfId="0" applyBorder="1"/>
    <xf numFmtId="0" fontId="37" fillId="13" borderId="23" xfId="0" applyFont="1" applyFill="1" applyBorder="1" applyAlignment="1">
      <alignment horizontal="left" vertical="top" wrapText="1" indent="1"/>
    </xf>
    <xf numFmtId="0" fontId="38" fillId="0" borderId="0" xfId="0" applyFont="1" applyAlignment="1">
      <alignment vertical="top" wrapText="1"/>
    </xf>
    <xf numFmtId="0" fontId="38" fillId="20" borderId="24" xfId="0" applyFont="1" applyFill="1" applyBorder="1" applyAlignment="1">
      <alignment vertical="top" wrapText="1"/>
    </xf>
    <xf numFmtId="0" fontId="42" fillId="20" borderId="25" xfId="0" applyFont="1" applyFill="1" applyBorder="1" applyAlignment="1">
      <alignment vertical="top" wrapText="1"/>
    </xf>
    <xf numFmtId="0" fontId="38" fillId="20" borderId="26" xfId="0" applyFont="1" applyFill="1" applyBorder="1" applyAlignment="1">
      <alignment vertical="top" wrapText="1"/>
    </xf>
    <xf numFmtId="0" fontId="38" fillId="0" borderId="0" xfId="0" applyFont="1" applyAlignment="1">
      <alignment horizontal="left" vertical="top" wrapText="1"/>
    </xf>
    <xf numFmtId="0" fontId="38" fillId="0" borderId="0" xfId="0" applyFont="1" applyAlignment="1">
      <alignment horizontal="left" vertical="top"/>
    </xf>
    <xf numFmtId="2" fontId="40" fillId="0" borderId="24" xfId="0" applyNumberFormat="1" applyFont="1" applyBorder="1" applyAlignment="1">
      <alignment vertical="top" shrinkToFit="1"/>
    </xf>
    <xf numFmtId="0" fontId="38" fillId="0" borderId="52" xfId="0" applyFont="1" applyBorder="1" applyAlignment="1">
      <alignment horizontal="left" vertical="top" wrapText="1"/>
    </xf>
    <xf numFmtId="170" fontId="40" fillId="0" borderId="24" xfId="0" applyNumberFormat="1" applyFont="1" applyBorder="1" applyAlignment="1">
      <alignment vertical="top" shrinkToFit="1"/>
    </xf>
    <xf numFmtId="0" fontId="0" fillId="21" borderId="0" xfId="0" applyFill="1"/>
    <xf numFmtId="0" fontId="38" fillId="14" borderId="24" xfId="0" applyFont="1" applyFill="1" applyBorder="1" applyAlignment="1">
      <alignment horizontal="left" vertical="top" wrapText="1"/>
    </xf>
    <xf numFmtId="0" fontId="38" fillId="14" borderId="25" xfId="0" applyFont="1" applyFill="1" applyBorder="1" applyAlignment="1">
      <alignment horizontal="left" vertical="top" wrapText="1"/>
    </xf>
    <xf numFmtId="0" fontId="38" fillId="14" borderId="24" xfId="0" applyFont="1" applyFill="1" applyBorder="1" applyAlignment="1">
      <alignment horizontal="left" vertical="top" wrapText="1" indent="1"/>
    </xf>
    <xf numFmtId="0" fontId="38" fillId="14" borderId="25" xfId="0" applyFont="1" applyFill="1" applyBorder="1" applyAlignment="1">
      <alignment horizontal="left" vertical="top" wrapText="1" indent="1"/>
    </xf>
    <xf numFmtId="0" fontId="38" fillId="14" borderId="26" xfId="0" applyFont="1" applyFill="1" applyBorder="1" applyAlignment="1">
      <alignment horizontal="left" vertical="top" wrapText="1" indent="1"/>
    </xf>
    <xf numFmtId="0" fontId="0" fillId="0" borderId="8" xfId="0" applyBorder="1" applyAlignment="1">
      <alignment horizontal="center" vertical="center" wrapText="1"/>
    </xf>
    <xf numFmtId="0" fontId="0" fillId="8" borderId="8" xfId="0" applyFill="1" applyBorder="1" applyAlignment="1">
      <alignment horizontal="left" vertical="center" wrapText="1"/>
    </xf>
    <xf numFmtId="164" fontId="0" fillId="0" borderId="0" xfId="0" applyNumberFormat="1" applyAlignment="1">
      <alignment wrapText="1"/>
    </xf>
    <xf numFmtId="3" fontId="0" fillId="0" borderId="0" xfId="0" applyNumberFormat="1" applyAlignment="1">
      <alignment wrapText="1"/>
    </xf>
    <xf numFmtId="9" fontId="0" fillId="0" borderId="0" xfId="0" applyNumberFormat="1" applyAlignment="1">
      <alignment wrapText="1"/>
    </xf>
    <xf numFmtId="0" fontId="0" fillId="8" borderId="0" xfId="0" applyFill="1"/>
    <xf numFmtId="0" fontId="0" fillId="8" borderId="11" xfId="0" applyFill="1" applyBorder="1" applyAlignment="1">
      <alignment horizontal="left" vertical="center" wrapText="1"/>
    </xf>
    <xf numFmtId="164" fontId="18" fillId="8" borderId="0" xfId="9" applyNumberFormat="1" applyFont="1" applyFill="1" applyBorder="1" applyAlignment="1">
      <alignment horizontal="right" vertical="center"/>
    </xf>
    <xf numFmtId="9" fontId="18" fillId="8" borderId="12" xfId="10" applyFont="1" applyFill="1" applyBorder="1" applyAlignment="1">
      <alignment horizontal="center" vertical="center"/>
    </xf>
    <xf numFmtId="9" fontId="18" fillId="8" borderId="11" xfId="10" applyFont="1" applyFill="1" applyBorder="1" applyAlignment="1">
      <alignment horizontal="center" vertical="center"/>
    </xf>
    <xf numFmtId="9" fontId="17" fillId="8" borderId="12" xfId="10" applyFont="1" applyFill="1" applyBorder="1" applyAlignment="1">
      <alignment horizontal="left" vertical="center"/>
    </xf>
    <xf numFmtId="164" fontId="17" fillId="0" borderId="0" xfId="9" applyNumberFormat="1" applyFont="1" applyAlignment="1">
      <alignment horizontal="center" vertical="center"/>
    </xf>
    <xf numFmtId="9" fontId="17" fillId="0" borderId="0" xfId="10" applyFont="1" applyAlignment="1">
      <alignment horizontal="center" vertical="center"/>
    </xf>
    <xf numFmtId="9" fontId="0" fillId="0" borderId="12" xfId="10" applyFont="1" applyBorder="1" applyAlignment="1">
      <alignment horizontal="center" vertical="center"/>
    </xf>
    <xf numFmtId="9" fontId="0" fillId="8" borderId="10" xfId="10" applyFont="1" applyFill="1" applyBorder="1" applyAlignment="1">
      <alignment horizontal="center" vertical="center"/>
    </xf>
    <xf numFmtId="164" fontId="0" fillId="8" borderId="9" xfId="9" applyNumberFormat="1" applyFont="1" applyFill="1" applyBorder="1" applyAlignment="1">
      <alignment horizontal="right" vertical="center"/>
    </xf>
    <xf numFmtId="164" fontId="18" fillId="9" borderId="11" xfId="9" applyNumberFormat="1" applyFont="1" applyFill="1" applyBorder="1" applyAlignment="1">
      <alignment horizontal="center" vertical="center"/>
    </xf>
    <xf numFmtId="164" fontId="17" fillId="9" borderId="12" xfId="9" applyNumberFormat="1" applyFont="1" applyFill="1" applyBorder="1" applyAlignment="1">
      <alignment horizontal="left" vertical="center"/>
    </xf>
    <xf numFmtId="164" fontId="17" fillId="9" borderId="0" xfId="9" applyNumberFormat="1" applyFont="1" applyFill="1" applyBorder="1" applyAlignment="1">
      <alignment horizontal="center" vertical="center"/>
    </xf>
    <xf numFmtId="164" fontId="17" fillId="9" borderId="12" xfId="9" applyNumberFormat="1" applyFont="1" applyFill="1" applyBorder="1" applyAlignment="1">
      <alignment horizontal="center" vertical="center"/>
    </xf>
    <xf numFmtId="166" fontId="17" fillId="9" borderId="12" xfId="10" applyNumberFormat="1" applyFont="1" applyFill="1" applyBorder="1" applyAlignment="1">
      <alignment horizontal="center" vertical="center"/>
    </xf>
    <xf numFmtId="0" fontId="0" fillId="9" borderId="0" xfId="0" applyFill="1" applyAlignment="1">
      <alignment wrapText="1"/>
    </xf>
    <xf numFmtId="0" fontId="0" fillId="9" borderId="13" xfId="0" applyFill="1" applyBorder="1" applyAlignment="1">
      <alignment wrapText="1"/>
    </xf>
    <xf numFmtId="164" fontId="18" fillId="9" borderId="13" xfId="9" applyNumberFormat="1" applyFont="1" applyFill="1" applyBorder="1" applyAlignment="1">
      <alignment horizontal="right" vertical="center"/>
    </xf>
    <xf numFmtId="164" fontId="18" fillId="9" borderId="14" xfId="9" applyNumberFormat="1" applyFont="1" applyFill="1" applyBorder="1" applyAlignment="1">
      <alignment horizontal="center" vertical="center"/>
    </xf>
    <xf numFmtId="164" fontId="17" fillId="9" borderId="15" xfId="9" applyNumberFormat="1" applyFont="1" applyFill="1" applyBorder="1" applyAlignment="1">
      <alignment horizontal="left" vertical="center"/>
    </xf>
    <xf numFmtId="164" fontId="17" fillId="9" borderId="13" xfId="9" applyNumberFormat="1" applyFont="1" applyFill="1" applyBorder="1" applyAlignment="1">
      <alignment horizontal="center" vertical="center"/>
    </xf>
    <xf numFmtId="164" fontId="17" fillId="9" borderId="15" xfId="9" applyNumberFormat="1" applyFont="1" applyFill="1" applyBorder="1" applyAlignment="1">
      <alignment horizontal="center" vertical="center"/>
    </xf>
    <xf numFmtId="166" fontId="17" fillId="9" borderId="15" xfId="10" applyNumberFormat="1" applyFont="1" applyFill="1" applyBorder="1" applyAlignment="1">
      <alignment horizontal="center" vertical="center"/>
    </xf>
    <xf numFmtId="164" fontId="18" fillId="9" borderId="9" xfId="9" applyNumberFormat="1" applyFont="1" applyFill="1" applyBorder="1" applyAlignment="1">
      <alignment horizontal="right" vertical="center"/>
    </xf>
    <xf numFmtId="164" fontId="18" fillId="9" borderId="8" xfId="9" applyNumberFormat="1" applyFont="1" applyFill="1" applyBorder="1" applyAlignment="1">
      <alignment horizontal="center" vertical="center"/>
    </xf>
    <xf numFmtId="164" fontId="17" fillId="9" borderId="10" xfId="9" applyNumberFormat="1" applyFont="1" applyFill="1" applyBorder="1" applyAlignment="1">
      <alignment horizontal="left" vertical="center"/>
    </xf>
    <xf numFmtId="164" fontId="17" fillId="9" borderId="9" xfId="9" applyNumberFormat="1" applyFont="1" applyFill="1" applyBorder="1" applyAlignment="1">
      <alignment horizontal="center" vertical="center"/>
    </xf>
    <xf numFmtId="164" fontId="17" fillId="9" borderId="10" xfId="9" applyNumberFormat="1" applyFont="1" applyFill="1" applyBorder="1" applyAlignment="1">
      <alignment horizontal="center" vertical="center"/>
    </xf>
    <xf numFmtId="164" fontId="20" fillId="0" borderId="0" xfId="11" applyNumberFormat="1" applyFill="1" applyBorder="1" applyAlignment="1">
      <alignment horizontal="center" vertical="center" wrapText="1"/>
    </xf>
    <xf numFmtId="164" fontId="20" fillId="9" borderId="12" xfId="11" applyNumberFormat="1" applyFill="1" applyBorder="1" applyAlignment="1">
      <alignment horizontal="left" vertical="center"/>
    </xf>
    <xf numFmtId="9" fontId="18" fillId="9" borderId="0" xfId="10" applyFont="1" applyFill="1" applyBorder="1" applyAlignment="1">
      <alignment horizontal="center" vertical="center" wrapText="1"/>
    </xf>
    <xf numFmtId="9" fontId="17" fillId="9" borderId="0" xfId="10" applyFont="1" applyFill="1" applyBorder="1" applyAlignment="1">
      <alignment horizontal="center" vertical="center" wrapText="1"/>
    </xf>
    <xf numFmtId="9" fontId="17" fillId="9" borderId="0" xfId="0" applyNumberFormat="1" applyFont="1" applyFill="1"/>
    <xf numFmtId="0" fontId="17" fillId="9" borderId="0" xfId="0" applyFont="1" applyFill="1" applyAlignment="1">
      <alignment wrapText="1"/>
    </xf>
    <xf numFmtId="10" fontId="0" fillId="0" borderId="0" xfId="0" applyNumberFormat="1" applyAlignment="1">
      <alignment wrapText="1"/>
    </xf>
    <xf numFmtId="0" fontId="9" fillId="0" borderId="0" xfId="12" applyFont="1"/>
    <xf numFmtId="173" fontId="0" fillId="0" borderId="0" xfId="9" applyNumberFormat="1" applyFont="1" applyAlignment="1">
      <alignment wrapText="1"/>
    </xf>
    <xf numFmtId="165" fontId="20" fillId="0" borderId="0" xfId="11" applyNumberFormat="1"/>
    <xf numFmtId="43" fontId="20" fillId="0" borderId="0" xfId="11" applyNumberFormat="1"/>
    <xf numFmtId="0" fontId="0" fillId="0" borderId="11" xfId="0" applyBorder="1" applyAlignment="1">
      <alignment vertical="center" wrapText="1"/>
    </xf>
    <xf numFmtId="0" fontId="20" fillId="0" borderId="0" xfId="11" applyFill="1"/>
    <xf numFmtId="0" fontId="19" fillId="0" borderId="0" xfId="0" applyFont="1" applyAlignment="1">
      <alignment wrapText="1"/>
    </xf>
    <xf numFmtId="10" fontId="20" fillId="0" borderId="0" xfId="11" applyNumberFormat="1" applyAlignment="1">
      <alignment wrapText="1"/>
    </xf>
    <xf numFmtId="164" fontId="18" fillId="0" borderId="9" xfId="9" applyNumberFormat="1" applyFont="1" applyFill="1" applyBorder="1" applyAlignment="1">
      <alignment horizontal="right" vertical="center" wrapText="1"/>
    </xf>
    <xf numFmtId="9" fontId="18" fillId="0" borderId="8" xfId="10" applyFont="1" applyFill="1" applyBorder="1" applyAlignment="1">
      <alignment horizontal="center" vertical="center" wrapText="1"/>
    </xf>
    <xf numFmtId="9" fontId="20" fillId="0" borderId="10" xfId="11" applyNumberFormat="1" applyFill="1" applyBorder="1" applyAlignment="1">
      <alignment horizontal="left" vertical="center" wrapText="1"/>
    </xf>
    <xf numFmtId="9" fontId="17" fillId="0" borderId="10" xfId="10" applyFont="1" applyFill="1" applyBorder="1" applyAlignment="1">
      <alignment horizontal="center" vertical="center" wrapText="1"/>
    </xf>
    <xf numFmtId="164" fontId="0" fillId="0" borderId="0" xfId="9" applyNumberFormat="1" applyFont="1" applyFill="1" applyAlignment="1">
      <alignment horizontal="right" vertical="center"/>
    </xf>
    <xf numFmtId="9" fontId="0" fillId="0" borderId="11" xfId="10" applyFont="1" applyFill="1" applyBorder="1" applyAlignment="1">
      <alignment horizontal="center" vertical="center"/>
    </xf>
    <xf numFmtId="164" fontId="17" fillId="0" borderId="0" xfId="9" applyNumberFormat="1" applyFont="1" applyFill="1" applyAlignment="1">
      <alignment horizontal="center" vertical="center"/>
    </xf>
    <xf numFmtId="166" fontId="17" fillId="0" borderId="0" xfId="10" applyNumberFormat="1" applyFont="1" applyFill="1" applyAlignment="1">
      <alignment horizontal="center" vertical="center"/>
    </xf>
    <xf numFmtId="0" fontId="20" fillId="0" borderId="9" xfId="11" applyBorder="1"/>
    <xf numFmtId="0" fontId="24" fillId="16" borderId="0" xfId="0" applyFont="1" applyFill="1" applyAlignment="1">
      <alignment horizontal="center" vertical="center" wrapText="1"/>
    </xf>
    <xf numFmtId="0" fontId="0" fillId="6" borderId="0" xfId="0" applyFill="1"/>
    <xf numFmtId="3" fontId="0" fillId="6" borderId="0" xfId="0" applyNumberFormat="1" applyFill="1"/>
    <xf numFmtId="0" fontId="9" fillId="0" borderId="0" xfId="12" applyFont="1" applyAlignment="1">
      <alignment wrapText="1"/>
    </xf>
    <xf numFmtId="0" fontId="0" fillId="0" borderId="11" xfId="0" applyBorder="1" applyAlignment="1">
      <alignment horizontal="center"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xf>
    <xf numFmtId="0" fontId="17" fillId="0" borderId="0" xfId="10" applyNumberFormat="1" applyFont="1" applyFill="1" applyBorder="1" applyAlignment="1">
      <alignment horizontal="center" vertical="center"/>
    </xf>
    <xf numFmtId="0" fontId="0" fillId="12" borderId="5" xfId="0" applyFill="1" applyBorder="1" applyAlignment="1">
      <alignment horizontal="center" vertical="center" wrapText="1"/>
    </xf>
    <xf numFmtId="0" fontId="0" fillId="0" borderId="22" xfId="0" applyBorder="1" applyAlignment="1">
      <alignment vertical="center"/>
    </xf>
    <xf numFmtId="0" fontId="0" fillId="0" borderId="21" xfId="0" applyBorder="1" applyAlignment="1">
      <alignment vertical="center"/>
    </xf>
    <xf numFmtId="0" fontId="20" fillId="0" borderId="0" xfId="11" applyBorder="1" applyAlignment="1">
      <alignment horizontal="left"/>
    </xf>
    <xf numFmtId="10" fontId="17" fillId="0" borderId="11" xfId="10" applyNumberFormat="1" applyFont="1" applyFill="1" applyBorder="1" applyAlignment="1">
      <alignment horizontal="center" vertical="center"/>
    </xf>
    <xf numFmtId="10" fontId="17" fillId="0" borderId="11" xfId="10" applyNumberFormat="1" applyFont="1" applyBorder="1" applyAlignment="1">
      <alignment horizontal="center" vertical="center"/>
    </xf>
    <xf numFmtId="0" fontId="34" fillId="0" borderId="0" xfId="0" applyFont="1"/>
    <xf numFmtId="3" fontId="34" fillId="0" borderId="0" xfId="0" applyNumberFormat="1" applyFont="1"/>
    <xf numFmtId="0" fontId="17" fillId="0" borderId="5" xfId="0" applyFont="1" applyBorder="1" applyAlignment="1">
      <alignment horizontal="center" wrapText="1"/>
    </xf>
    <xf numFmtId="167" fontId="0" fillId="0" borderId="0" xfId="0" applyNumberFormat="1"/>
    <xf numFmtId="0" fontId="48" fillId="0" borderId="0" xfId="0" applyFont="1"/>
    <xf numFmtId="0" fontId="17" fillId="0" borderId="22" xfId="0" applyFont="1" applyBorder="1" applyAlignment="1">
      <alignment horizontal="center" wrapText="1"/>
    </xf>
    <xf numFmtId="0" fontId="50" fillId="0" borderId="0" xfId="12" applyFont="1" applyAlignment="1">
      <alignment horizontal="center" vertical="center"/>
    </xf>
    <xf numFmtId="1" fontId="0" fillId="5" borderId="0" xfId="0" applyNumberFormat="1" applyFill="1"/>
    <xf numFmtId="0" fontId="9" fillId="23" borderId="0" xfId="12" applyFont="1" applyFill="1" applyAlignment="1">
      <alignment wrapText="1"/>
    </xf>
    <xf numFmtId="0" fontId="9" fillId="23" borderId="0" xfId="12" applyFont="1" applyFill="1"/>
    <xf numFmtId="0" fontId="8" fillId="23" borderId="0" xfId="12" applyFont="1" applyFill="1"/>
    <xf numFmtId="0" fontId="0" fillId="3" borderId="0" xfId="0" applyFill="1"/>
    <xf numFmtId="0" fontId="17" fillId="3" borderId="0" xfId="0" applyFont="1" applyFill="1"/>
    <xf numFmtId="0" fontId="0" fillId="23" borderId="0" xfId="0" applyFill="1"/>
    <xf numFmtId="0" fontId="54" fillId="0" borderId="0" xfId="0" applyFont="1"/>
    <xf numFmtId="0" fontId="23" fillId="0" borderId="0" xfId="0" applyFont="1"/>
    <xf numFmtId="0" fontId="55" fillId="0" borderId="13" xfId="0" applyFont="1" applyBorder="1" applyAlignment="1">
      <alignment horizontal="right"/>
    </xf>
    <xf numFmtId="0" fontId="55" fillId="0" borderId="0" xfId="0" applyFont="1" applyAlignment="1">
      <alignment horizontal="right"/>
    </xf>
    <xf numFmtId="0" fontId="26" fillId="10" borderId="0" xfId="12" applyFont="1" applyFill="1" applyAlignment="1">
      <alignment horizontal="left" vertical="center" wrapText="1"/>
    </xf>
    <xf numFmtId="0" fontId="53" fillId="10" borderId="0" xfId="12" applyFont="1" applyFill="1" applyAlignment="1">
      <alignment horizontal="left" vertical="center" wrapText="1"/>
    </xf>
    <xf numFmtId="0" fontId="50" fillId="23" borderId="0" xfId="12" applyFont="1" applyFill="1" applyAlignment="1">
      <alignment horizontal="center" vertical="center"/>
    </xf>
    <xf numFmtId="0" fontId="53" fillId="10" borderId="0" xfId="12" applyFont="1" applyFill="1" applyAlignment="1">
      <alignment horizontal="left" vertical="center"/>
    </xf>
    <xf numFmtId="169" fontId="0" fillId="0" borderId="0" xfId="0" applyNumberFormat="1"/>
    <xf numFmtId="1" fontId="23" fillId="0" borderId="0" xfId="0" applyNumberFormat="1" applyFont="1"/>
    <xf numFmtId="0" fontId="57" fillId="0" borderId="0" xfId="12" applyFont="1" applyAlignment="1">
      <alignment horizontal="left" vertical="center" wrapText="1"/>
    </xf>
    <xf numFmtId="9" fontId="9" fillId="0" borderId="0" xfId="10" applyFont="1"/>
    <xf numFmtId="0" fontId="25" fillId="0" borderId="0" xfId="12" applyFont="1" applyAlignment="1">
      <alignment horizontal="center"/>
    </xf>
    <xf numFmtId="171" fontId="0" fillId="0" borderId="0" xfId="0" applyNumberFormat="1"/>
    <xf numFmtId="0" fontId="32" fillId="0" borderId="0" xfId="0" applyFont="1" applyAlignment="1">
      <alignment wrapText="1"/>
    </xf>
    <xf numFmtId="9" fontId="0" fillId="0" borderId="0" xfId="10" applyFont="1" applyBorder="1"/>
    <xf numFmtId="9" fontId="0" fillId="0" borderId="0" xfId="10" applyFont="1" applyFill="1"/>
    <xf numFmtId="1" fontId="54" fillId="0" borderId="0" xfId="0" applyNumberFormat="1" applyFont="1"/>
    <xf numFmtId="0" fontId="33" fillId="10" borderId="0" xfId="0" applyFont="1" applyFill="1"/>
    <xf numFmtId="0" fontId="32" fillId="10" borderId="0" xfId="0" applyFont="1" applyFill="1" applyAlignment="1">
      <alignment wrapText="1"/>
    </xf>
    <xf numFmtId="0" fontId="48" fillId="10" borderId="0" xfId="0" applyFont="1" applyFill="1"/>
    <xf numFmtId="0" fontId="0" fillId="10" borderId="0" xfId="0" applyFill="1" applyAlignment="1">
      <alignment wrapText="1"/>
    </xf>
    <xf numFmtId="0" fontId="17" fillId="10" borderId="0" xfId="0" applyFont="1" applyFill="1"/>
    <xf numFmtId="0" fontId="0" fillId="0" borderId="45" xfId="0" applyBorder="1" applyAlignment="1">
      <alignment wrapText="1"/>
    </xf>
    <xf numFmtId="0" fontId="17" fillId="0" borderId="45" xfId="0" applyFont="1" applyBorder="1" applyAlignment="1">
      <alignment wrapText="1"/>
    </xf>
    <xf numFmtId="1" fontId="17" fillId="0" borderId="0" xfId="0" applyNumberFormat="1" applyFont="1"/>
    <xf numFmtId="0" fontId="17" fillId="2" borderId="0" xfId="0" applyFont="1" applyFill="1"/>
    <xf numFmtId="9" fontId="0" fillId="3" borderId="0" xfId="0" applyNumberFormat="1" applyFill="1"/>
    <xf numFmtId="0" fontId="25" fillId="0" borderId="61" xfId="12" applyFont="1" applyBorder="1" applyAlignment="1">
      <alignment horizontal="center" vertical="center" wrapText="1"/>
    </xf>
    <xf numFmtId="0" fontId="33" fillId="3" borderId="0" xfId="0" applyFont="1" applyFill="1"/>
    <xf numFmtId="1" fontId="49" fillId="23" borderId="0" xfId="12" applyNumberFormat="1" applyFont="1" applyFill="1" applyAlignment="1">
      <alignment horizontal="left"/>
    </xf>
    <xf numFmtId="0" fontId="0" fillId="24" borderId="0" xfId="0" applyFill="1"/>
    <xf numFmtId="2" fontId="0" fillId="10" borderId="0" xfId="0" applyNumberFormat="1" applyFill="1"/>
    <xf numFmtId="1" fontId="0" fillId="10" borderId="0" xfId="0" applyNumberFormat="1" applyFill="1"/>
    <xf numFmtId="9" fontId="0" fillId="10" borderId="0" xfId="10" applyFont="1" applyFill="1"/>
    <xf numFmtId="0" fontId="17" fillId="10" borderId="0" xfId="0" applyFont="1" applyFill="1" applyAlignment="1">
      <alignment wrapText="1"/>
    </xf>
    <xf numFmtId="164" fontId="0" fillId="10" borderId="0" xfId="9" applyNumberFormat="1" applyFont="1" applyFill="1"/>
    <xf numFmtId="0" fontId="52" fillId="23" borderId="0" xfId="12" applyFont="1" applyFill="1" applyAlignment="1">
      <alignment wrapText="1"/>
    </xf>
    <xf numFmtId="0" fontId="50" fillId="3" borderId="6" xfId="12" applyFont="1" applyFill="1" applyBorder="1" applyAlignment="1" applyProtection="1">
      <alignment horizontal="center" vertical="center"/>
      <protection locked="0"/>
    </xf>
    <xf numFmtId="0" fontId="25" fillId="0" borderId="71" xfId="12" applyFont="1" applyBorder="1" applyAlignment="1">
      <alignment horizontal="center" vertical="center" wrapText="1"/>
    </xf>
    <xf numFmtId="0" fontId="50" fillId="0" borderId="6" xfId="12" applyFont="1" applyBorder="1" applyAlignment="1" applyProtection="1">
      <alignment horizontal="center" vertical="center"/>
      <protection locked="0"/>
    </xf>
    <xf numFmtId="0" fontId="50" fillId="0" borderId="69" xfId="12" applyFont="1" applyBorder="1" applyAlignment="1" applyProtection="1">
      <alignment horizontal="center" vertical="center"/>
      <protection locked="0"/>
    </xf>
    <xf numFmtId="0" fontId="50" fillId="3" borderId="63" xfId="12" applyFont="1" applyFill="1" applyBorder="1" applyAlignment="1" applyProtection="1">
      <alignment horizontal="center" vertical="center" wrapText="1"/>
      <protection locked="0"/>
    </xf>
    <xf numFmtId="0" fontId="49" fillId="0" borderId="42" xfId="12" applyFont="1" applyBorder="1" applyAlignment="1">
      <alignment horizontal="center" vertical="center"/>
    </xf>
    <xf numFmtId="0" fontId="49" fillId="0" borderId="64" xfId="12" applyFont="1" applyBorder="1" applyAlignment="1">
      <alignment horizontal="center" vertical="center"/>
    </xf>
    <xf numFmtId="0" fontId="25" fillId="0" borderId="63" xfId="12" applyFont="1" applyBorder="1" applyAlignment="1">
      <alignment horizontal="left" vertical="center" wrapText="1"/>
    </xf>
    <xf numFmtId="0" fontId="25" fillId="0" borderId="62" xfId="12" applyFont="1" applyBorder="1" applyAlignment="1">
      <alignment horizontal="left" vertical="center" wrapText="1"/>
    </xf>
    <xf numFmtId="0" fontId="47" fillId="23" borderId="0" xfId="12" applyFont="1" applyFill="1"/>
    <xf numFmtId="0" fontId="7" fillId="23" borderId="0" xfId="12" applyFont="1" applyFill="1"/>
    <xf numFmtId="9" fontId="9" fillId="23" borderId="0" xfId="10" applyFont="1" applyFill="1"/>
    <xf numFmtId="0" fontId="25" fillId="23" borderId="0" xfId="12" applyFont="1" applyFill="1" applyAlignment="1">
      <alignment horizontal="center"/>
    </xf>
    <xf numFmtId="0" fontId="26" fillId="0" borderId="82" xfId="12" applyFont="1" applyBorder="1" applyAlignment="1">
      <alignment horizontal="center" vertical="center" wrapText="1"/>
    </xf>
    <xf numFmtId="0" fontId="25" fillId="0" borderId="14" xfId="12" applyFont="1" applyBorder="1" applyAlignment="1">
      <alignment horizontal="left" vertical="center" wrapText="1"/>
    </xf>
    <xf numFmtId="0" fontId="50" fillId="3" borderId="79" xfId="12" applyFont="1" applyFill="1" applyBorder="1" applyAlignment="1" applyProtection="1">
      <alignment horizontal="center" vertical="center" wrapText="1"/>
      <protection locked="0"/>
    </xf>
    <xf numFmtId="0" fontId="58" fillId="23" borderId="0" xfId="12" applyFont="1" applyFill="1" applyAlignment="1">
      <alignment horizontal="center" vertical="center"/>
    </xf>
    <xf numFmtId="0" fontId="61" fillId="0" borderId="0" xfId="0" applyFont="1"/>
    <xf numFmtId="0" fontId="25" fillId="0" borderId="67" xfId="12" applyFont="1" applyBorder="1" applyAlignment="1">
      <alignment horizontal="right" vertical="center" wrapText="1"/>
    </xf>
    <xf numFmtId="0" fontId="25" fillId="0" borderId="72" xfId="12" applyFont="1" applyBorder="1" applyAlignment="1">
      <alignment horizontal="right" vertical="center" wrapText="1"/>
    </xf>
    <xf numFmtId="0" fontId="25" fillId="0" borderId="17" xfId="12" applyFont="1" applyBorder="1" applyAlignment="1">
      <alignment horizontal="right" vertical="center" wrapText="1"/>
    </xf>
    <xf numFmtId="0" fontId="25" fillId="0" borderId="15" xfId="12" applyFont="1" applyBorder="1" applyAlignment="1">
      <alignment horizontal="right" vertical="center" wrapText="1"/>
    </xf>
    <xf numFmtId="0" fontId="25" fillId="0" borderId="71" xfId="12" applyFont="1" applyBorder="1" applyAlignment="1">
      <alignment horizontal="right" vertical="center" wrapText="1"/>
    </xf>
    <xf numFmtId="0" fontId="25" fillId="0" borderId="83" xfId="12" applyFont="1" applyBorder="1" applyAlignment="1">
      <alignment horizontal="right" vertical="center" wrapText="1"/>
    </xf>
    <xf numFmtId="0" fontId="25" fillId="0" borderId="10" xfId="12" applyFont="1" applyBorder="1" applyAlignment="1">
      <alignment horizontal="right" vertical="center" wrapText="1"/>
    </xf>
    <xf numFmtId="0" fontId="25" fillId="0" borderId="70" xfId="12" applyFont="1" applyBorder="1" applyAlignment="1">
      <alignment horizontal="right" vertical="center" wrapText="1"/>
    </xf>
    <xf numFmtId="0" fontId="25" fillId="0" borderId="65" xfId="12" applyFont="1" applyBorder="1" applyAlignment="1">
      <alignment horizontal="right" vertical="center" wrapText="1"/>
    </xf>
    <xf numFmtId="0" fontId="25" fillId="0" borderId="35" xfId="12" applyFont="1" applyBorder="1" applyAlignment="1">
      <alignment horizontal="right" vertical="center" wrapText="1"/>
    </xf>
    <xf numFmtId="0" fontId="59" fillId="23" borderId="0" xfId="12" applyFont="1" applyFill="1" applyAlignment="1">
      <alignment wrapText="1"/>
    </xf>
    <xf numFmtId="0" fontId="50" fillId="3" borderId="60" xfId="12" applyFont="1" applyFill="1" applyBorder="1" applyAlignment="1" applyProtection="1">
      <alignment horizontal="center" vertical="center" wrapText="1"/>
      <protection locked="0"/>
    </xf>
    <xf numFmtId="0" fontId="6" fillId="23" borderId="0" xfId="12" applyFont="1" applyFill="1"/>
    <xf numFmtId="0" fontId="50" fillId="3" borderId="63" xfId="12" applyFont="1" applyFill="1" applyBorder="1" applyAlignment="1" applyProtection="1">
      <alignment horizontal="center" vertical="center"/>
      <protection locked="0"/>
    </xf>
    <xf numFmtId="0" fontId="67" fillId="26" borderId="0" xfId="0" applyFont="1" applyFill="1"/>
    <xf numFmtId="0" fontId="0" fillId="27" borderId="0" xfId="0" applyFill="1"/>
    <xf numFmtId="0" fontId="0" fillId="28" borderId="0" xfId="0" applyFill="1"/>
    <xf numFmtId="0" fontId="0" fillId="29" borderId="0" xfId="0" applyFill="1"/>
    <xf numFmtId="0" fontId="0" fillId="4" borderId="0" xfId="0" applyFill="1"/>
    <xf numFmtId="0" fontId="0" fillId="30" borderId="0" xfId="0" applyFill="1"/>
    <xf numFmtId="0" fontId="68" fillId="23" borderId="0" xfId="0" applyFont="1" applyFill="1" applyAlignment="1">
      <alignment horizontal="left" vertical="center"/>
    </xf>
    <xf numFmtId="0" fontId="49" fillId="23" borderId="0" xfId="12" applyFont="1" applyFill="1" applyAlignment="1">
      <alignment horizontal="left"/>
    </xf>
    <xf numFmtId="0" fontId="17" fillId="0" borderId="21" xfId="0" applyFont="1" applyBorder="1" applyAlignment="1">
      <alignment horizontal="center" wrapText="1"/>
    </xf>
    <xf numFmtId="0" fontId="0" fillId="25" borderId="0" xfId="0" applyFill="1"/>
    <xf numFmtId="9" fontId="63" fillId="25" borderId="5" xfId="13" applyFont="1" applyFill="1" applyBorder="1" applyAlignment="1">
      <alignment vertical="center" wrapText="1"/>
    </xf>
    <xf numFmtId="9" fontId="62" fillId="25" borderId="5" xfId="13" applyFont="1" applyFill="1" applyBorder="1" applyAlignment="1">
      <alignment vertical="center" wrapText="1"/>
    </xf>
    <xf numFmtId="1" fontId="62" fillId="25" borderId="5" xfId="13" applyNumberFormat="1" applyFont="1" applyFill="1" applyBorder="1" applyAlignment="1">
      <alignment vertical="center" wrapText="1"/>
    </xf>
    <xf numFmtId="0" fontId="48" fillId="25" borderId="0" xfId="0" applyFont="1" applyFill="1"/>
    <xf numFmtId="9" fontId="62" fillId="25" borderId="5" xfId="13" applyFont="1" applyFill="1" applyBorder="1" applyAlignment="1">
      <alignment vertical="center"/>
    </xf>
    <xf numFmtId="9" fontId="62" fillId="25" borderId="5" xfId="10" applyFont="1" applyFill="1" applyBorder="1" applyAlignment="1">
      <alignment vertical="center" wrapText="1"/>
    </xf>
    <xf numFmtId="0" fontId="0" fillId="25" borderId="42" xfId="0" applyFill="1" applyBorder="1"/>
    <xf numFmtId="1" fontId="0" fillId="25" borderId="43" xfId="0" applyNumberFormat="1" applyFill="1" applyBorder="1"/>
    <xf numFmtId="9" fontId="0" fillId="25" borderId="44" xfId="10" applyFont="1" applyFill="1" applyBorder="1"/>
    <xf numFmtId="0" fontId="0" fillId="25" borderId="45" xfId="0" applyFill="1" applyBorder="1"/>
    <xf numFmtId="1" fontId="0" fillId="25" borderId="0" xfId="0" applyNumberFormat="1" applyFill="1"/>
    <xf numFmtId="9" fontId="0" fillId="25" borderId="46" xfId="10" applyFont="1" applyFill="1" applyBorder="1"/>
    <xf numFmtId="0" fontId="17" fillId="25" borderId="45" xfId="0" applyFont="1" applyFill="1" applyBorder="1"/>
    <xf numFmtId="1" fontId="17" fillId="25" borderId="0" xfId="0" applyNumberFormat="1" applyFont="1" applyFill="1"/>
    <xf numFmtId="9" fontId="17" fillId="25" borderId="46" xfId="10" applyFont="1" applyFill="1" applyBorder="1"/>
    <xf numFmtId="0" fontId="0" fillId="25" borderId="46" xfId="0" applyFill="1" applyBorder="1"/>
    <xf numFmtId="0" fontId="17" fillId="25" borderId="20" xfId="0" applyFont="1" applyFill="1" applyBorder="1"/>
    <xf numFmtId="1" fontId="17" fillId="25" borderId="19" xfId="0" applyNumberFormat="1" applyFont="1" applyFill="1" applyBorder="1"/>
    <xf numFmtId="9" fontId="17" fillId="25" borderId="47" xfId="10" applyFont="1" applyFill="1" applyBorder="1"/>
    <xf numFmtId="0" fontId="64" fillId="23" borderId="42" xfId="12" applyFont="1" applyFill="1" applyBorder="1" applyAlignment="1">
      <alignment vertical="center"/>
    </xf>
    <xf numFmtId="0" fontId="9" fillId="25" borderId="0" xfId="12" applyFont="1" applyFill="1"/>
    <xf numFmtId="0" fontId="50" fillId="25" borderId="0" xfId="12" applyFont="1" applyFill="1" applyAlignment="1">
      <alignment horizontal="center" vertical="center"/>
    </xf>
    <xf numFmtId="0" fontId="70" fillId="25" borderId="5" xfId="12" applyFont="1" applyFill="1" applyBorder="1" applyAlignment="1">
      <alignment horizontal="center" vertical="center"/>
    </xf>
    <xf numFmtId="0" fontId="38" fillId="0" borderId="0" xfId="0" applyFont="1" applyAlignment="1">
      <alignment vertical="center" wrapText="1"/>
    </xf>
    <xf numFmtId="0" fontId="38" fillId="0" borderId="0" xfId="0" applyFont="1" applyAlignment="1">
      <alignment horizontal="left" vertical="center" wrapText="1" indent="1"/>
    </xf>
    <xf numFmtId="0" fontId="30" fillId="0" borderId="0" xfId="0" applyFont="1"/>
    <xf numFmtId="0" fontId="17" fillId="0" borderId="27" xfId="0" applyFont="1" applyBorder="1" applyAlignment="1">
      <alignment wrapText="1"/>
    </xf>
    <xf numFmtId="0" fontId="0" fillId="0" borderId="18" xfId="0" applyBorder="1"/>
    <xf numFmtId="43" fontId="0" fillId="0" borderId="0" xfId="0" applyNumberFormat="1"/>
    <xf numFmtId="0" fontId="25" fillId="0" borderId="6" xfId="12" applyFont="1" applyBorder="1" applyAlignment="1">
      <alignment horizontal="left" vertical="center" wrapText="1"/>
    </xf>
    <xf numFmtId="9" fontId="25" fillId="0" borderId="69" xfId="13" applyFont="1" applyBorder="1" applyAlignment="1">
      <alignment horizontal="left" vertical="center" wrapText="1"/>
    </xf>
    <xf numFmtId="0" fontId="17" fillId="21" borderId="27" xfId="0" applyFont="1" applyFill="1" applyBorder="1" applyAlignment="1">
      <alignment wrapText="1"/>
    </xf>
    <xf numFmtId="0" fontId="0" fillId="21" borderId="18" xfId="0" applyFill="1" applyBorder="1"/>
    <xf numFmtId="166" fontId="0" fillId="0" borderId="0" xfId="10" applyNumberFormat="1" applyFont="1"/>
    <xf numFmtId="2" fontId="0" fillId="0" borderId="18" xfId="0" applyNumberFormat="1" applyBorder="1"/>
    <xf numFmtId="0" fontId="5" fillId="0" borderId="0" xfId="12" applyFont="1"/>
    <xf numFmtId="0" fontId="5" fillId="23" borderId="0" xfId="12" applyFont="1" applyFill="1"/>
    <xf numFmtId="1" fontId="50" fillId="4" borderId="65" xfId="9" applyNumberFormat="1" applyFont="1" applyFill="1" applyBorder="1" applyAlignment="1">
      <alignment horizontal="center" vertical="center"/>
    </xf>
    <xf numFmtId="0" fontId="65" fillId="23" borderId="43" xfId="12" applyFont="1" applyFill="1" applyBorder="1" applyAlignment="1">
      <alignment vertical="center"/>
    </xf>
    <xf numFmtId="0" fontId="64" fillId="23" borderId="44" xfId="12" applyFont="1" applyFill="1" applyBorder="1" applyAlignment="1">
      <alignment vertical="center"/>
    </xf>
    <xf numFmtId="0" fontId="9" fillId="23" borderId="0" xfId="12" applyFont="1" applyFill="1" applyAlignment="1">
      <alignment horizontal="center" vertical="center"/>
    </xf>
    <xf numFmtId="0" fontId="9" fillId="0" borderId="0" xfId="12" applyFont="1" applyAlignment="1">
      <alignment horizontal="center" vertical="center"/>
    </xf>
    <xf numFmtId="1" fontId="50" fillId="4" borderId="67" xfId="9" applyNumberFormat="1" applyFont="1" applyFill="1" applyBorder="1" applyAlignment="1">
      <alignment horizontal="center" vertical="center"/>
    </xf>
    <xf numFmtId="1" fontId="50" fillId="4" borderId="35" xfId="9" applyNumberFormat="1" applyFont="1" applyFill="1" applyBorder="1" applyAlignment="1">
      <alignment horizontal="center" vertical="center"/>
    </xf>
    <xf numFmtId="10" fontId="50" fillId="4" borderId="5" xfId="10" applyNumberFormat="1" applyFont="1" applyFill="1" applyBorder="1" applyAlignment="1">
      <alignment horizontal="center" vertical="center" wrapText="1"/>
    </xf>
    <xf numFmtId="0" fontId="49" fillId="0" borderId="87" xfId="12" applyFont="1" applyBorder="1" applyAlignment="1">
      <alignment horizontal="center" vertical="center" wrapText="1"/>
    </xf>
    <xf numFmtId="10" fontId="50" fillId="4" borderId="61" xfId="10" applyNumberFormat="1" applyFont="1" applyFill="1" applyBorder="1" applyAlignment="1">
      <alignment horizontal="center" vertical="center" wrapText="1"/>
    </xf>
    <xf numFmtId="10" fontId="50" fillId="4" borderId="59" xfId="10" applyNumberFormat="1" applyFont="1" applyFill="1" applyBorder="1" applyAlignment="1">
      <alignment horizontal="center" vertical="center" wrapText="1"/>
    </xf>
    <xf numFmtId="10" fontId="50" fillId="4" borderId="22" xfId="10" applyNumberFormat="1" applyFont="1" applyFill="1" applyBorder="1" applyAlignment="1">
      <alignment horizontal="center" vertical="center" wrapText="1"/>
    </xf>
    <xf numFmtId="0" fontId="5" fillId="25" borderId="0" xfId="12" applyFont="1" applyFill="1"/>
    <xf numFmtId="0" fontId="5" fillId="25" borderId="0" xfId="12" applyFont="1" applyFill="1" applyAlignment="1">
      <alignment horizontal="center" vertical="center"/>
    </xf>
    <xf numFmtId="9" fontId="0" fillId="3" borderId="0" xfId="0" applyNumberFormat="1" applyFill="1" applyAlignment="1">
      <alignment wrapText="1"/>
    </xf>
    <xf numFmtId="0" fontId="72" fillId="2" borderId="0" xfId="12" applyFont="1" applyFill="1" applyAlignment="1">
      <alignment horizontal="center" vertical="center"/>
    </xf>
    <xf numFmtId="0" fontId="33" fillId="2" borderId="0" xfId="0" applyFont="1" applyFill="1"/>
    <xf numFmtId="0" fontId="17" fillId="0" borderId="0" xfId="0" applyFont="1" applyAlignment="1">
      <alignment horizontal="center"/>
    </xf>
    <xf numFmtId="9" fontId="49" fillId="23" borderId="0" xfId="10" applyFont="1" applyFill="1" applyAlignment="1">
      <alignment horizontal="left"/>
    </xf>
    <xf numFmtId="9" fontId="17" fillId="0" borderId="0" xfId="0" applyNumberFormat="1" applyFont="1" applyAlignment="1">
      <alignment horizontal="left"/>
    </xf>
    <xf numFmtId="0" fontId="17" fillId="8" borderId="42" xfId="0" applyFont="1" applyFill="1" applyBorder="1" applyAlignment="1">
      <alignment horizontal="center" vertical="center" wrapText="1"/>
    </xf>
    <xf numFmtId="0" fontId="17" fillId="8" borderId="43" xfId="0" applyFont="1" applyFill="1" applyBorder="1" applyAlignment="1">
      <alignment horizontal="center" vertical="center" wrapText="1"/>
    </xf>
    <xf numFmtId="0" fontId="17" fillId="8" borderId="44" xfId="0" applyFont="1" applyFill="1" applyBorder="1" applyAlignment="1">
      <alignment horizontal="center" vertical="center" wrapText="1"/>
    </xf>
    <xf numFmtId="0" fontId="25" fillId="0" borderId="5" xfId="12" applyFont="1" applyBorder="1" applyAlignment="1">
      <alignment horizontal="right" vertical="center" wrapText="1"/>
    </xf>
    <xf numFmtId="0" fontId="53" fillId="10" borderId="0" xfId="12" applyFont="1" applyFill="1" applyAlignment="1">
      <alignment vertical="center"/>
    </xf>
    <xf numFmtId="2" fontId="0" fillId="2" borderId="0" xfId="0" applyNumberFormat="1" applyFill="1"/>
    <xf numFmtId="2" fontId="0" fillId="2" borderId="0" xfId="10" applyNumberFormat="1" applyFont="1" applyFill="1" applyBorder="1"/>
    <xf numFmtId="9" fontId="0" fillId="22" borderId="0" xfId="0" applyNumberFormat="1" applyFill="1"/>
    <xf numFmtId="9" fontId="17" fillId="0" borderId="47" xfId="10" applyFont="1" applyBorder="1"/>
    <xf numFmtId="1" fontId="58" fillId="11" borderId="63" xfId="12" applyNumberFormat="1" applyFont="1" applyFill="1" applyBorder="1" applyAlignment="1">
      <alignment horizontal="center" vertical="center" wrapText="1"/>
    </xf>
    <xf numFmtId="0" fontId="0" fillId="0" borderId="0" xfId="0" applyAlignment="1">
      <alignment horizontal="left" indent="1"/>
    </xf>
    <xf numFmtId="0" fontId="0" fillId="0" borderId="0" xfId="0" applyAlignment="1">
      <alignment horizontal="left" wrapText="1" indent="1"/>
    </xf>
    <xf numFmtId="0" fontId="0" fillId="0" borderId="0" xfId="0" applyAlignment="1">
      <alignment horizontal="left" vertical="center" indent="1"/>
    </xf>
    <xf numFmtId="0" fontId="0" fillId="0" borderId="0" xfId="0" applyAlignment="1">
      <alignment horizontal="left" vertical="center" wrapText="1" indent="1"/>
    </xf>
    <xf numFmtId="9" fontId="0" fillId="4" borderId="59" xfId="10" applyFont="1" applyFill="1" applyBorder="1" applyAlignment="1">
      <alignment horizontal="left" vertical="center" wrapText="1" indent="1"/>
    </xf>
    <xf numFmtId="9" fontId="0" fillId="12" borderId="5" xfId="10" applyFont="1" applyFill="1" applyBorder="1" applyAlignment="1">
      <alignment horizontal="left" vertical="center" wrapText="1" indent="1"/>
    </xf>
    <xf numFmtId="3" fontId="0" fillId="0" borderId="19" xfId="0" applyNumberFormat="1" applyBorder="1"/>
    <xf numFmtId="0" fontId="9" fillId="0" borderId="43" xfId="12" applyFont="1" applyBorder="1"/>
    <xf numFmtId="0" fontId="9" fillId="0" borderId="19" xfId="12" applyFont="1" applyBorder="1"/>
    <xf numFmtId="9" fontId="17" fillId="0" borderId="46" xfId="10" applyFont="1" applyBorder="1"/>
    <xf numFmtId="0" fontId="17" fillId="0" borderId="47" xfId="0" applyFont="1" applyBorder="1"/>
    <xf numFmtId="1" fontId="0" fillId="0" borderId="19" xfId="0" applyNumberFormat="1" applyBorder="1"/>
    <xf numFmtId="0" fontId="17" fillId="0" borderId="45" xfId="0" applyFont="1" applyBorder="1" applyAlignment="1">
      <alignment vertical="center"/>
    </xf>
    <xf numFmtId="0" fontId="17" fillId="0" borderId="45" xfId="0" applyFont="1" applyBorder="1" applyAlignment="1">
      <alignment vertical="center" wrapText="1"/>
    </xf>
    <xf numFmtId="0" fontId="17" fillId="0" borderId="20" xfId="0" applyFont="1" applyBorder="1" applyAlignment="1">
      <alignment vertical="center"/>
    </xf>
    <xf numFmtId="0" fontId="17" fillId="0" borderId="20" xfId="0" applyFont="1" applyBorder="1" applyAlignment="1">
      <alignment vertical="center" wrapText="1"/>
    </xf>
    <xf numFmtId="0" fontId="17" fillId="22" borderId="0" xfId="0" applyFont="1" applyFill="1"/>
    <xf numFmtId="1" fontId="0" fillId="22" borderId="0" xfId="0" applyNumberFormat="1" applyFill="1"/>
    <xf numFmtId="9" fontId="17" fillId="22" borderId="0" xfId="0" applyNumberFormat="1" applyFont="1" applyFill="1"/>
    <xf numFmtId="167" fontId="17" fillId="22" borderId="0" xfId="0" applyNumberFormat="1" applyFont="1" applyFill="1"/>
    <xf numFmtId="1" fontId="17" fillId="22" borderId="0" xfId="0" applyNumberFormat="1" applyFont="1" applyFill="1"/>
    <xf numFmtId="167" fontId="0" fillId="2" borderId="0" xfId="0" applyNumberFormat="1" applyFill="1"/>
    <xf numFmtId="1" fontId="0" fillId="2" borderId="0" xfId="0" applyNumberFormat="1" applyFill="1"/>
    <xf numFmtId="167" fontId="0" fillId="22" borderId="0" xfId="0" applyNumberFormat="1" applyFill="1"/>
    <xf numFmtId="9" fontId="0" fillId="22" borderId="0" xfId="10" applyFont="1" applyFill="1"/>
    <xf numFmtId="0" fontId="0" fillId="22" borderId="0" xfId="0" applyFill="1"/>
    <xf numFmtId="1" fontId="0" fillId="3" borderId="0" xfId="0" applyNumberFormat="1" applyFill="1"/>
    <xf numFmtId="43" fontId="0" fillId="0" borderId="0" xfId="9" applyFont="1"/>
    <xf numFmtId="0" fontId="8" fillId="0" borderId="0" xfId="12" applyFont="1"/>
    <xf numFmtId="0" fontId="49" fillId="0" borderId="0" xfId="12" applyFont="1" applyAlignment="1">
      <alignment horizontal="center" vertical="center" wrapText="1"/>
    </xf>
    <xf numFmtId="0" fontId="51" fillId="0" borderId="0" xfId="12" applyFont="1" applyAlignment="1">
      <alignment horizontal="center" vertical="center"/>
    </xf>
    <xf numFmtId="9" fontId="0" fillId="12" borderId="6" xfId="10" applyFont="1" applyFill="1" applyBorder="1" applyAlignment="1">
      <alignment horizontal="left" vertical="center" wrapText="1" indent="1"/>
    </xf>
    <xf numFmtId="0" fontId="33" fillId="23" borderId="0" xfId="0" applyFont="1" applyFill="1"/>
    <xf numFmtId="0" fontId="50" fillId="3" borderId="60" xfId="12" applyFont="1" applyFill="1" applyBorder="1" applyAlignment="1" applyProtection="1">
      <alignment horizontal="center" vertical="center"/>
      <protection locked="0"/>
    </xf>
    <xf numFmtId="0" fontId="50" fillId="0" borderId="63" xfId="12" applyFont="1" applyBorder="1" applyAlignment="1" applyProtection="1">
      <alignment horizontal="center" vertical="center" wrapText="1"/>
      <protection locked="0"/>
    </xf>
    <xf numFmtId="0" fontId="25" fillId="0" borderId="68" xfId="12" applyFont="1" applyBorder="1" applyAlignment="1">
      <alignment horizontal="left" vertical="center" wrapText="1"/>
    </xf>
    <xf numFmtId="2" fontId="0" fillId="4" borderId="78" xfId="10" applyNumberFormat="1" applyFont="1" applyFill="1" applyBorder="1" applyAlignment="1">
      <alignment horizontal="left" vertical="center" wrapText="1" indent="1"/>
    </xf>
    <xf numFmtId="0" fontId="0" fillId="0" borderId="0" xfId="0" applyAlignment="1">
      <alignment horizontal="center" wrapText="1"/>
    </xf>
    <xf numFmtId="0" fontId="0" fillId="0" borderId="0" xfId="0" applyAlignment="1">
      <alignment horizontal="center"/>
    </xf>
    <xf numFmtId="1" fontId="0" fillId="0" borderId="0" xfId="0" applyNumberFormat="1" applyAlignment="1">
      <alignment horizontal="center" wrapText="1"/>
    </xf>
    <xf numFmtId="1" fontId="0" fillId="0" borderId="0" xfId="0" applyNumberFormat="1" applyAlignment="1">
      <alignment horizontal="center" vertical="center"/>
    </xf>
    <xf numFmtId="0" fontId="0" fillId="7" borderId="0" xfId="0" applyFill="1" applyAlignment="1">
      <alignment horizontal="center" vertical="center" wrapText="1"/>
    </xf>
    <xf numFmtId="0" fontId="0" fillId="4" borderId="0" xfId="0" applyFill="1" applyAlignment="1">
      <alignment horizontal="center" wrapText="1"/>
    </xf>
    <xf numFmtId="1" fontId="0" fillId="4" borderId="0" xfId="0" applyNumberFormat="1" applyFill="1" applyAlignment="1">
      <alignment horizontal="center" wrapText="1"/>
    </xf>
    <xf numFmtId="0" fontId="0" fillId="4" borderId="0" xfId="0" applyFill="1" applyAlignment="1">
      <alignment horizontal="center" vertical="center"/>
    </xf>
    <xf numFmtId="0" fontId="0" fillId="22" borderId="0" xfId="0" applyFill="1" applyAlignment="1">
      <alignment horizontal="center" vertical="center"/>
    </xf>
    <xf numFmtId="0" fontId="0" fillId="22" borderId="0" xfId="0" applyFill="1" applyAlignment="1">
      <alignment horizontal="center" vertical="center" wrapText="1"/>
    </xf>
    <xf numFmtId="0" fontId="0" fillId="6" borderId="0" xfId="0" applyFill="1" applyAlignment="1">
      <alignment horizontal="center" vertical="center"/>
    </xf>
    <xf numFmtId="0" fontId="0" fillId="3" borderId="0" xfId="0" applyFill="1" applyAlignment="1">
      <alignment horizontal="center" vertical="center"/>
    </xf>
    <xf numFmtId="2" fontId="0" fillId="22" borderId="0" xfId="0" applyNumberFormat="1" applyFill="1"/>
    <xf numFmtId="164" fontId="17" fillId="22" borderId="0" xfId="9" applyNumberFormat="1" applyFont="1" applyFill="1"/>
    <xf numFmtId="9" fontId="17" fillId="22" borderId="0" xfId="10" applyFont="1" applyFill="1"/>
    <xf numFmtId="164" fontId="17" fillId="0" borderId="0" xfId="0" applyNumberFormat="1" applyFont="1"/>
    <xf numFmtId="164" fontId="17" fillId="22" borderId="0" xfId="0" applyNumberFormat="1" applyFont="1" applyFill="1" applyAlignment="1">
      <alignment horizontal="left" indent="2"/>
    </xf>
    <xf numFmtId="4" fontId="0" fillId="22" borderId="0" xfId="0" applyNumberFormat="1" applyFill="1"/>
    <xf numFmtId="0" fontId="0" fillId="0" borderId="34" xfId="0" applyBorder="1" applyAlignment="1">
      <alignment horizontal="center" wrapText="1"/>
    </xf>
    <xf numFmtId="0" fontId="0" fillId="0" borderId="34" xfId="0" applyBorder="1" applyAlignment="1">
      <alignment horizontal="center"/>
    </xf>
    <xf numFmtId="0" fontId="0" fillId="0" borderId="45" xfId="0" applyBorder="1" applyAlignment="1">
      <alignment horizontal="center" wrapText="1"/>
    </xf>
    <xf numFmtId="166" fontId="0" fillId="0" borderId="34" xfId="10" applyNumberFormat="1" applyFont="1" applyBorder="1" applyAlignment="1">
      <alignment horizontal="center" wrapText="1"/>
    </xf>
    <xf numFmtId="166" fontId="0" fillId="22" borderId="0" xfId="10" applyNumberFormat="1" applyFont="1" applyFill="1"/>
    <xf numFmtId="171" fontId="0" fillId="22" borderId="0" xfId="0" applyNumberFormat="1" applyFill="1"/>
    <xf numFmtId="169" fontId="0" fillId="22" borderId="0" xfId="0" applyNumberFormat="1" applyFill="1"/>
    <xf numFmtId="164" fontId="0" fillId="22" borderId="0" xfId="9" applyNumberFormat="1" applyFont="1" applyFill="1"/>
    <xf numFmtId="164" fontId="0" fillId="22" borderId="0" xfId="0" applyNumberFormat="1" applyFill="1"/>
    <xf numFmtId="43" fontId="0" fillId="22" borderId="0" xfId="0" applyNumberFormat="1" applyFill="1"/>
    <xf numFmtId="1" fontId="0" fillId="0" borderId="45" xfId="0" applyNumberFormat="1" applyBorder="1" applyAlignment="1">
      <alignment horizontal="center" vertical="center"/>
    </xf>
    <xf numFmtId="9" fontId="33" fillId="22" borderId="59" xfId="10" applyFont="1" applyFill="1" applyBorder="1" applyAlignment="1">
      <alignment horizontal="left" vertical="center" wrapText="1" indent="1"/>
    </xf>
    <xf numFmtId="9" fontId="33" fillId="22" borderId="68" xfId="10" applyFont="1" applyFill="1" applyBorder="1" applyAlignment="1">
      <alignment horizontal="left" vertical="center" wrapText="1" indent="1"/>
    </xf>
    <xf numFmtId="9" fontId="33" fillId="4" borderId="5" xfId="10" applyFont="1" applyFill="1" applyBorder="1" applyAlignment="1">
      <alignment horizontal="left" vertical="center" wrapText="1" indent="1"/>
    </xf>
    <xf numFmtId="1" fontId="0" fillId="0" borderId="45" xfId="0" applyNumberFormat="1" applyBorder="1" applyAlignment="1">
      <alignment horizontal="center" vertical="center" wrapText="1"/>
    </xf>
    <xf numFmtId="0" fontId="0" fillId="3" borderId="13" xfId="0" applyFill="1" applyBorder="1"/>
    <xf numFmtId="166" fontId="0" fillId="0" borderId="13" xfId="10" applyNumberFormat="1" applyFont="1" applyBorder="1"/>
    <xf numFmtId="164" fontId="0" fillId="0" borderId="13" xfId="9" applyNumberFormat="1" applyFont="1" applyBorder="1"/>
    <xf numFmtId="43" fontId="0" fillId="0" borderId="13" xfId="0" applyNumberFormat="1" applyBorder="1"/>
    <xf numFmtId="0" fontId="0" fillId="3" borderId="27" xfId="0" applyFill="1" applyBorder="1"/>
    <xf numFmtId="0" fontId="0" fillId="3" borderId="34" xfId="0" applyFill="1" applyBorder="1"/>
    <xf numFmtId="0" fontId="0" fillId="3" borderId="18" xfId="0" applyFill="1" applyBorder="1"/>
    <xf numFmtId="0" fontId="78" fillId="10" borderId="0" xfId="12" applyFont="1" applyFill="1" applyAlignment="1">
      <alignment horizontal="left" vertical="center" wrapText="1"/>
    </xf>
    <xf numFmtId="174" fontId="0" fillId="0" borderId="0" xfId="0" applyNumberFormat="1"/>
    <xf numFmtId="174" fontId="0" fillId="22" borderId="0" xfId="0" applyNumberFormat="1" applyFill="1"/>
    <xf numFmtId="0" fontId="79" fillId="0" borderId="0" xfId="12" applyFont="1" applyAlignment="1">
      <alignment horizontal="left" vertical="center" wrapText="1"/>
    </xf>
    <xf numFmtId="1" fontId="0" fillId="4" borderId="0" xfId="0" applyNumberFormat="1" applyFill="1"/>
    <xf numFmtId="3" fontId="0" fillId="6" borderId="0" xfId="0" applyNumberFormat="1" applyFill="1" applyAlignment="1">
      <alignment wrapText="1"/>
    </xf>
    <xf numFmtId="0" fontId="17" fillId="25" borderId="0" xfId="0" applyFont="1" applyFill="1" applyAlignment="1">
      <alignment wrapText="1"/>
    </xf>
    <xf numFmtId="167" fontId="0" fillId="25" borderId="0" xfId="0" applyNumberFormat="1" applyFill="1"/>
    <xf numFmtId="166" fontId="0" fillId="25" borderId="0" xfId="10" applyNumberFormat="1" applyFont="1" applyFill="1"/>
    <xf numFmtId="0" fontId="81" fillId="0" borderId="0" xfId="0" applyFont="1"/>
    <xf numFmtId="1" fontId="54" fillId="7" borderId="0" xfId="0" applyNumberFormat="1" applyFont="1" applyFill="1"/>
    <xf numFmtId="164" fontId="33" fillId="0" borderId="0" xfId="9" applyNumberFormat="1" applyFont="1"/>
    <xf numFmtId="164" fontId="33" fillId="22" borderId="0" xfId="9" applyNumberFormat="1" applyFont="1" applyFill="1"/>
    <xf numFmtId="0" fontId="17" fillId="8" borderId="0" xfId="0" applyFont="1" applyFill="1"/>
    <xf numFmtId="0" fontId="17" fillId="8" borderId="0" xfId="0" applyFont="1" applyFill="1" applyAlignment="1">
      <alignment wrapText="1"/>
    </xf>
    <xf numFmtId="9" fontId="0" fillId="8" borderId="0" xfId="0" applyNumberFormat="1" applyFill="1"/>
    <xf numFmtId="10" fontId="0" fillId="8" borderId="0" xfId="0" applyNumberFormat="1" applyFill="1"/>
    <xf numFmtId="175" fontId="0" fillId="8" borderId="0" xfId="0" applyNumberFormat="1" applyFill="1"/>
    <xf numFmtId="9" fontId="0" fillId="8" borderId="0" xfId="0" applyNumberFormat="1" applyFill="1" applyAlignment="1">
      <alignment wrapText="1"/>
    </xf>
    <xf numFmtId="0" fontId="33" fillId="22" borderId="0" xfId="0" applyFont="1" applyFill="1"/>
    <xf numFmtId="9" fontId="0" fillId="22" borderId="0" xfId="0" applyNumberFormat="1" applyFill="1" applyAlignment="1">
      <alignment wrapText="1"/>
    </xf>
    <xf numFmtId="1" fontId="0" fillId="22" borderId="0" xfId="0" applyNumberFormat="1" applyFill="1" applyAlignment="1">
      <alignment wrapText="1"/>
    </xf>
    <xf numFmtId="43" fontId="0" fillId="0" borderId="0" xfId="9" applyFont="1" applyAlignment="1">
      <alignment wrapText="1"/>
    </xf>
    <xf numFmtId="43" fontId="0" fillId="22" borderId="0" xfId="9" applyFont="1" applyFill="1" applyAlignment="1">
      <alignment wrapText="1"/>
    </xf>
    <xf numFmtId="43" fontId="0" fillId="22" borderId="0" xfId="9" applyFont="1" applyFill="1"/>
    <xf numFmtId="10" fontId="17" fillId="22" borderId="0" xfId="9" applyNumberFormat="1" applyFont="1" applyFill="1"/>
    <xf numFmtId="164" fontId="0" fillId="22" borderId="0" xfId="9" applyNumberFormat="1" applyFont="1" applyFill="1" applyAlignment="1">
      <alignment wrapText="1"/>
    </xf>
    <xf numFmtId="2" fontId="0" fillId="0" borderId="45" xfId="0" applyNumberFormat="1" applyBorder="1" applyAlignment="1">
      <alignment horizontal="center" vertical="center" wrapText="1"/>
    </xf>
    <xf numFmtId="166" fontId="0" fillId="0" borderId="34" xfId="10" applyNumberFormat="1" applyFont="1" applyFill="1" applyBorder="1" applyAlignment="1">
      <alignment horizontal="center" wrapText="1"/>
    </xf>
    <xf numFmtId="9" fontId="33" fillId="22" borderId="61" xfId="10" applyFont="1" applyFill="1" applyBorder="1" applyAlignment="1">
      <alignment horizontal="left" vertical="center" wrapText="1" indent="1"/>
    </xf>
    <xf numFmtId="2" fontId="0" fillId="0" borderId="45" xfId="0" applyNumberFormat="1" applyBorder="1" applyAlignment="1">
      <alignment horizontal="center" vertical="center"/>
    </xf>
    <xf numFmtId="9" fontId="33" fillId="4" borderId="6" xfId="10" applyFont="1" applyFill="1" applyBorder="1" applyAlignment="1">
      <alignment horizontal="left" vertical="center" wrapText="1" indent="1"/>
    </xf>
    <xf numFmtId="9" fontId="33" fillId="22" borderId="69" xfId="10" applyFont="1" applyFill="1" applyBorder="1" applyAlignment="1">
      <alignment horizontal="left" vertical="center" wrapText="1" indent="1"/>
    </xf>
    <xf numFmtId="1" fontId="0" fillId="23" borderId="47" xfId="0" applyNumberFormat="1" applyFill="1" applyBorder="1" applyAlignment="1">
      <alignment horizontal="center"/>
    </xf>
    <xf numFmtId="164" fontId="33" fillId="0" borderId="0" xfId="0" applyNumberFormat="1" applyFont="1"/>
    <xf numFmtId="1" fontId="0" fillId="23" borderId="0" xfId="0" applyNumberFormat="1" applyFill="1" applyAlignment="1">
      <alignment horizontal="center" vertical="center" wrapText="1"/>
    </xf>
    <xf numFmtId="0" fontId="17" fillId="22" borderId="0" xfId="0" applyFont="1" applyFill="1" applyAlignment="1">
      <alignment wrapText="1"/>
    </xf>
    <xf numFmtId="164" fontId="33" fillId="22" borderId="0" xfId="0" applyNumberFormat="1" applyFont="1" applyFill="1"/>
    <xf numFmtId="1" fontId="82" fillId="4" borderId="65" xfId="9" applyNumberFormat="1" applyFont="1" applyFill="1" applyBorder="1" applyAlignment="1">
      <alignment horizontal="center" vertical="center"/>
    </xf>
    <xf numFmtId="0" fontId="83" fillId="0" borderId="17" xfId="12" applyFont="1" applyBorder="1" applyAlignment="1">
      <alignment horizontal="right" vertical="center" wrapText="1"/>
    </xf>
    <xf numFmtId="0" fontId="0" fillId="0" borderId="0" xfId="0" applyAlignment="1">
      <alignment horizontal="center" vertical="center" wrapText="1"/>
    </xf>
    <xf numFmtId="9" fontId="0" fillId="0" borderId="0" xfId="10" applyFont="1" applyAlignment="1">
      <alignment horizontal="left" vertical="center" wrapText="1" indent="1"/>
    </xf>
    <xf numFmtId="0" fontId="77" fillId="0" borderId="21" xfId="12" applyFont="1" applyBorder="1" applyAlignment="1">
      <alignment vertical="center" wrapText="1"/>
    </xf>
    <xf numFmtId="0" fontId="50" fillId="3" borderId="69" xfId="12" applyFont="1" applyFill="1" applyBorder="1" applyAlignment="1" applyProtection="1">
      <alignment horizontal="center" vertical="center"/>
      <protection locked="0"/>
    </xf>
    <xf numFmtId="0" fontId="25" fillId="0" borderId="69" xfId="12" applyFont="1" applyBorder="1" applyAlignment="1">
      <alignment horizontal="left" vertical="center" wrapText="1"/>
    </xf>
    <xf numFmtId="1" fontId="0" fillId="0" borderId="46" xfId="0" applyNumberFormat="1" applyBorder="1" applyAlignment="1">
      <alignment horizontal="center" vertical="center"/>
    </xf>
    <xf numFmtId="2" fontId="33" fillId="4" borderId="6" xfId="10" applyNumberFormat="1" applyFont="1" applyFill="1" applyBorder="1" applyAlignment="1">
      <alignment horizontal="left" vertical="center" wrapText="1" indent="1"/>
    </xf>
    <xf numFmtId="9" fontId="50" fillId="4" borderId="5" xfId="10" applyFont="1" applyFill="1" applyBorder="1" applyAlignment="1">
      <alignment horizontal="center" vertical="center" wrapText="1"/>
    </xf>
    <xf numFmtId="9" fontId="33" fillId="4" borderId="61" xfId="10" applyFont="1" applyFill="1" applyBorder="1" applyAlignment="1">
      <alignment horizontal="left" vertical="center" wrapText="1" indent="1"/>
    </xf>
    <xf numFmtId="0" fontId="0" fillId="0" borderId="0" xfId="0" applyAlignment="1">
      <alignment horizontal="center" vertical="center"/>
    </xf>
    <xf numFmtId="0" fontId="73" fillId="31" borderId="43" xfId="0" applyFont="1" applyFill="1" applyBorder="1" applyAlignment="1">
      <alignment horizontal="center" vertical="center" wrapText="1"/>
    </xf>
    <xf numFmtId="9" fontId="0" fillId="4" borderId="40" xfId="10" applyFont="1" applyFill="1" applyBorder="1" applyAlignment="1">
      <alignment horizontal="left" vertical="center" wrapText="1" indent="1"/>
    </xf>
    <xf numFmtId="9" fontId="0" fillId="4" borderId="61" xfId="10" applyFont="1" applyFill="1" applyBorder="1" applyAlignment="1">
      <alignment horizontal="left" vertical="center" wrapText="1" indent="1"/>
    </xf>
    <xf numFmtId="9" fontId="33" fillId="4" borderId="59" xfId="10" applyFont="1" applyFill="1" applyBorder="1" applyAlignment="1">
      <alignment horizontal="left" vertical="center" wrapText="1" indent="1"/>
    </xf>
    <xf numFmtId="9" fontId="33" fillId="4" borderId="68" xfId="10" applyFont="1" applyFill="1" applyBorder="1" applyAlignment="1">
      <alignment horizontal="left" vertical="center" wrapText="1" indent="1"/>
    </xf>
    <xf numFmtId="9" fontId="33" fillId="4" borderId="69" xfId="10" applyFont="1" applyFill="1" applyBorder="1" applyAlignment="1">
      <alignment horizontal="left" vertical="center" wrapText="1" indent="1"/>
    </xf>
    <xf numFmtId="2" fontId="0" fillId="4" borderId="59" xfId="10" applyNumberFormat="1" applyFont="1" applyFill="1" applyBorder="1" applyAlignment="1">
      <alignment horizontal="left" vertical="center" wrapText="1" indent="1"/>
    </xf>
    <xf numFmtId="2" fontId="0" fillId="4" borderId="68" xfId="10" applyNumberFormat="1" applyFont="1" applyFill="1" applyBorder="1" applyAlignment="1">
      <alignment horizontal="left" vertical="center" wrapText="1" indent="1"/>
    </xf>
    <xf numFmtId="2" fontId="0" fillId="4" borderId="69" xfId="10" applyNumberFormat="1" applyFont="1" applyFill="1" applyBorder="1" applyAlignment="1">
      <alignment horizontal="left" vertical="center" wrapText="1" indent="1"/>
    </xf>
    <xf numFmtId="0" fontId="33" fillId="4" borderId="59" xfId="0" applyFont="1" applyFill="1" applyBorder="1" applyAlignment="1">
      <alignment horizontal="center" vertical="center" wrapText="1"/>
    </xf>
    <xf numFmtId="0" fontId="0" fillId="22" borderId="40" xfId="0" applyFill="1" applyBorder="1" applyAlignment="1">
      <alignment horizontal="center" vertical="center" wrapText="1"/>
    </xf>
    <xf numFmtId="9" fontId="33" fillId="22" borderId="40" xfId="10" applyFont="1" applyFill="1" applyBorder="1" applyAlignment="1">
      <alignment horizontal="left" vertical="center" wrapText="1" indent="1"/>
    </xf>
    <xf numFmtId="9" fontId="33" fillId="22" borderId="93" xfId="10" applyFont="1" applyFill="1" applyBorder="1" applyAlignment="1">
      <alignment horizontal="left" vertical="center" wrapText="1" indent="1"/>
    </xf>
    <xf numFmtId="0" fontId="0" fillId="22" borderId="87" xfId="0" applyFill="1" applyBorder="1" applyAlignment="1">
      <alignment horizontal="center" vertical="center" wrapText="1"/>
    </xf>
    <xf numFmtId="9" fontId="33" fillId="22" borderId="87" xfId="10" applyFont="1" applyFill="1" applyBorder="1" applyAlignment="1">
      <alignment horizontal="left" vertical="center" wrapText="1" indent="1"/>
    </xf>
    <xf numFmtId="9" fontId="33" fillId="22" borderId="90" xfId="10" applyFont="1" applyFill="1" applyBorder="1" applyAlignment="1">
      <alignment horizontal="left" vertical="center" wrapText="1" indent="1"/>
    </xf>
    <xf numFmtId="166" fontId="0" fillId="22" borderId="30" xfId="0" applyNumberFormat="1" applyFill="1" applyBorder="1" applyAlignment="1">
      <alignment horizontal="center" vertical="center"/>
    </xf>
    <xf numFmtId="166" fontId="0" fillId="22" borderId="91" xfId="0" applyNumberFormat="1" applyFill="1" applyBorder="1" applyAlignment="1">
      <alignment horizontal="center" vertical="center"/>
    </xf>
    <xf numFmtId="0" fontId="0" fillId="12" borderId="59" xfId="0" applyFill="1" applyBorder="1" applyAlignment="1">
      <alignment horizontal="center" vertical="center" wrapText="1"/>
    </xf>
    <xf numFmtId="9" fontId="0" fillId="12" borderId="59" xfId="10" applyFont="1" applyFill="1" applyBorder="1" applyAlignment="1">
      <alignment horizontal="left" vertical="center" wrapText="1" indent="1"/>
    </xf>
    <xf numFmtId="9" fontId="0" fillId="12" borderId="68" xfId="10" applyFont="1" applyFill="1" applyBorder="1" applyAlignment="1">
      <alignment horizontal="left" vertical="center" wrapText="1" indent="1"/>
    </xf>
    <xf numFmtId="9" fontId="33" fillId="3" borderId="59" xfId="10" applyFont="1" applyFill="1" applyBorder="1" applyAlignment="1">
      <alignment horizontal="left" vertical="center" wrapText="1" indent="1"/>
    </xf>
    <xf numFmtId="9" fontId="33" fillId="33" borderId="92" xfId="0" applyNumberFormat="1" applyFont="1" applyFill="1" applyBorder="1" applyAlignment="1">
      <alignment horizontal="center" vertical="center" wrapText="1"/>
    </xf>
    <xf numFmtId="0" fontId="0" fillId="22" borderId="86" xfId="0" applyFill="1" applyBorder="1" applyAlignment="1">
      <alignment horizontal="center" vertical="center" wrapText="1"/>
    </xf>
    <xf numFmtId="0" fontId="0" fillId="12" borderId="87" xfId="0" applyFill="1" applyBorder="1" applyAlignment="1">
      <alignment vertical="center" wrapText="1"/>
    </xf>
    <xf numFmtId="9" fontId="33" fillId="12" borderId="87" xfId="10" applyFont="1" applyFill="1" applyBorder="1" applyAlignment="1">
      <alignment horizontal="left" vertical="center" wrapText="1" indent="1"/>
    </xf>
    <xf numFmtId="9" fontId="33" fillId="12" borderId="90" xfId="10" applyFont="1" applyFill="1" applyBorder="1" applyAlignment="1">
      <alignment horizontal="left" vertical="center" wrapText="1" indent="1"/>
    </xf>
    <xf numFmtId="9" fontId="33" fillId="12" borderId="68" xfId="10" applyFont="1" applyFill="1" applyBorder="1" applyAlignment="1">
      <alignment horizontal="left" vertical="center" wrapText="1" indent="1"/>
    </xf>
    <xf numFmtId="9" fontId="0" fillId="7" borderId="0" xfId="10" applyFont="1" applyFill="1"/>
    <xf numFmtId="166" fontId="0" fillId="0" borderId="0" xfId="10" applyNumberFormat="1" applyFont="1" applyFill="1" applyAlignment="1">
      <alignment horizontal="center" wrapText="1"/>
    </xf>
    <xf numFmtId="9" fontId="0" fillId="0" borderId="0" xfId="10" applyFont="1" applyFill="1" applyAlignment="1">
      <alignment horizontal="center" wrapText="1"/>
    </xf>
    <xf numFmtId="9" fontId="33" fillId="4" borderId="16" xfId="10" applyFont="1" applyFill="1" applyBorder="1" applyAlignment="1">
      <alignment horizontal="left" vertical="center" wrapText="1" indent="1"/>
    </xf>
    <xf numFmtId="0" fontId="33" fillId="12" borderId="59" xfId="0" applyFont="1" applyFill="1" applyBorder="1" applyAlignment="1">
      <alignment horizontal="center" vertical="center" wrapText="1"/>
    </xf>
    <xf numFmtId="0" fontId="4" fillId="23" borderId="0" xfId="12" applyFont="1" applyFill="1"/>
    <xf numFmtId="0" fontId="4" fillId="23" borderId="0" xfId="12" applyFont="1" applyFill="1" applyAlignment="1">
      <alignment horizontal="center" vertical="center"/>
    </xf>
    <xf numFmtId="168" fontId="0" fillId="22" borderId="0" xfId="0" applyNumberFormat="1" applyFill="1"/>
    <xf numFmtId="3" fontId="33" fillId="22" borderId="0" xfId="0" applyNumberFormat="1" applyFont="1" applyFill="1"/>
    <xf numFmtId="0" fontId="0" fillId="22" borderId="18" xfId="0" applyFill="1" applyBorder="1"/>
    <xf numFmtId="9" fontId="33" fillId="3" borderId="5" xfId="10" applyFont="1" applyFill="1" applyBorder="1" applyAlignment="1">
      <alignment horizontal="left" vertical="center" wrapText="1" indent="1"/>
    </xf>
    <xf numFmtId="10" fontId="0" fillId="0" borderId="34" xfId="10" applyNumberFormat="1" applyFont="1" applyFill="1" applyBorder="1" applyAlignment="1">
      <alignment horizontal="center" wrapText="1"/>
    </xf>
    <xf numFmtId="0" fontId="33" fillId="12" borderId="22" xfId="0" applyFont="1" applyFill="1" applyBorder="1" applyAlignment="1">
      <alignment horizontal="center" vertical="center" wrapText="1"/>
    </xf>
    <xf numFmtId="9" fontId="0" fillId="12" borderId="22" xfId="10" applyFont="1" applyFill="1" applyBorder="1" applyAlignment="1">
      <alignment horizontal="left" vertical="center" wrapText="1" indent="1"/>
    </xf>
    <xf numFmtId="9" fontId="33" fillId="12" borderId="8" xfId="10" applyFont="1" applyFill="1" applyBorder="1" applyAlignment="1">
      <alignment horizontal="left" vertical="center" wrapText="1" indent="1"/>
    </xf>
    <xf numFmtId="2" fontId="0" fillId="22" borderId="18" xfId="0" applyNumberFormat="1" applyFill="1" applyBorder="1"/>
    <xf numFmtId="3" fontId="0" fillId="22" borderId="0" xfId="0" applyNumberFormat="1" applyFill="1"/>
    <xf numFmtId="167" fontId="0" fillId="22" borderId="18" xfId="0" applyNumberFormat="1" applyFill="1" applyBorder="1"/>
    <xf numFmtId="1" fontId="0" fillId="22" borderId="18" xfId="0" applyNumberFormat="1" applyFill="1" applyBorder="1"/>
    <xf numFmtId="0" fontId="7" fillId="23" borderId="0" xfId="12" applyFont="1" applyFill="1" applyAlignment="1">
      <alignment wrapText="1"/>
    </xf>
    <xf numFmtId="0" fontId="74" fillId="23" borderId="0" xfId="12" applyFont="1" applyFill="1" applyAlignment="1">
      <alignment wrapText="1"/>
    </xf>
    <xf numFmtId="0" fontId="75" fillId="23" borderId="0" xfId="12" applyFont="1" applyFill="1" applyAlignment="1">
      <alignment horizontal="right" wrapText="1"/>
    </xf>
    <xf numFmtId="0" fontId="5" fillId="23" borderId="0" xfId="12" applyFont="1" applyFill="1" applyAlignment="1">
      <alignment wrapText="1"/>
    </xf>
    <xf numFmtId="0" fontId="0" fillId="22" borderId="0" xfId="0" applyFill="1" applyAlignment="1">
      <alignment wrapText="1"/>
    </xf>
    <xf numFmtId="166" fontId="49" fillId="0" borderId="78" xfId="12" applyNumberFormat="1" applyFont="1" applyBorder="1" applyAlignment="1">
      <alignment horizontal="center" vertical="center"/>
    </xf>
    <xf numFmtId="1" fontId="0" fillId="0" borderId="0" xfId="0" applyNumberFormat="1" applyAlignment="1">
      <alignment horizontal="center" vertical="center" wrapText="1"/>
    </xf>
    <xf numFmtId="164" fontId="0" fillId="0" borderId="0" xfId="0" applyNumberFormat="1" applyAlignment="1">
      <alignment horizontal="center" vertical="center" wrapText="1"/>
    </xf>
    <xf numFmtId="43" fontId="0" fillId="0" borderId="0" xfId="0" applyNumberFormat="1" applyAlignment="1">
      <alignment horizontal="center" vertical="center" wrapText="1"/>
    </xf>
    <xf numFmtId="1" fontId="0" fillId="0" borderId="34" xfId="0" applyNumberFormat="1" applyBorder="1" applyAlignment="1">
      <alignment horizontal="center" vertical="center" wrapText="1"/>
    </xf>
    <xf numFmtId="0" fontId="86" fillId="0" borderId="0" xfId="0" applyFont="1"/>
    <xf numFmtId="0" fontId="0" fillId="11" borderId="27" xfId="0" applyFill="1" applyBorder="1"/>
    <xf numFmtId="0" fontId="0" fillId="11" borderId="34" xfId="0" applyFill="1" applyBorder="1"/>
    <xf numFmtId="0" fontId="0" fillId="11" borderId="18" xfId="0" applyFill="1" applyBorder="1"/>
    <xf numFmtId="0" fontId="0" fillId="0" borderId="45" xfId="0" applyBorder="1" applyAlignment="1">
      <alignment horizontal="center" vertical="center" wrapText="1"/>
    </xf>
    <xf numFmtId="0" fontId="0" fillId="0" borderId="45" xfId="0" applyBorder="1" applyAlignment="1">
      <alignment horizontal="center" vertical="center"/>
    </xf>
    <xf numFmtId="164" fontId="0" fillId="0" borderId="45" xfId="0" applyNumberFormat="1" applyBorder="1" applyAlignment="1">
      <alignment horizontal="center" vertical="center" wrapText="1"/>
    </xf>
    <xf numFmtId="0" fontId="33" fillId="12" borderId="21" xfId="0" applyFont="1" applyFill="1" applyBorder="1" applyAlignment="1">
      <alignment horizontal="center" vertical="center" wrapText="1"/>
    </xf>
    <xf numFmtId="9" fontId="33" fillId="12" borderId="11" xfId="10" applyFont="1" applyFill="1" applyBorder="1" applyAlignment="1">
      <alignment horizontal="left" vertical="center" wrapText="1" indent="1"/>
    </xf>
    <xf numFmtId="9" fontId="33" fillId="12" borderId="21" xfId="10" applyFont="1" applyFill="1" applyBorder="1" applyAlignment="1">
      <alignment horizontal="left" vertical="center" wrapText="1" indent="1"/>
    </xf>
    <xf numFmtId="166" fontId="0" fillId="4" borderId="30" xfId="10" applyNumberFormat="1" applyFont="1" applyFill="1" applyBorder="1" applyAlignment="1">
      <alignment horizontal="center" wrapText="1"/>
    </xf>
    <xf numFmtId="166" fontId="33" fillId="4" borderId="88" xfId="10" applyNumberFormat="1" applyFont="1" applyFill="1" applyBorder="1" applyAlignment="1">
      <alignment horizontal="center" wrapText="1"/>
    </xf>
    <xf numFmtId="166" fontId="33" fillId="4" borderId="91" xfId="10" applyNumberFormat="1" applyFont="1" applyFill="1" applyBorder="1" applyAlignment="1">
      <alignment horizontal="center" wrapText="1"/>
    </xf>
    <xf numFmtId="166" fontId="33" fillId="4" borderId="30" xfId="10" applyNumberFormat="1" applyFont="1" applyFill="1" applyBorder="1" applyAlignment="1">
      <alignment horizontal="center" wrapText="1"/>
    </xf>
    <xf numFmtId="166" fontId="0" fillId="4" borderId="91" xfId="10" applyNumberFormat="1" applyFont="1" applyFill="1" applyBorder="1" applyAlignment="1">
      <alignment horizontal="center" wrapText="1"/>
    </xf>
    <xf numFmtId="166" fontId="0" fillId="4" borderId="88" xfId="10" applyNumberFormat="1" applyFont="1" applyFill="1" applyBorder="1" applyAlignment="1">
      <alignment horizontal="center" wrapText="1"/>
    </xf>
    <xf numFmtId="0" fontId="48" fillId="7" borderId="0" xfId="0" applyFont="1" applyFill="1"/>
    <xf numFmtId="0" fontId="0" fillId="42" borderId="0" xfId="0" applyFill="1"/>
    <xf numFmtId="166" fontId="0" fillId="42" borderId="13" xfId="10" applyNumberFormat="1" applyFont="1" applyFill="1" applyBorder="1"/>
    <xf numFmtId="0" fontId="0" fillId="42" borderId="13" xfId="0" applyFill="1" applyBorder="1"/>
    <xf numFmtId="164" fontId="0" fillId="42" borderId="13" xfId="9" applyNumberFormat="1" applyFont="1" applyFill="1" applyBorder="1"/>
    <xf numFmtId="43" fontId="0" fillId="42" borderId="13" xfId="0" applyNumberFormat="1" applyFill="1" applyBorder="1"/>
    <xf numFmtId="164" fontId="0" fillId="3" borderId="0" xfId="9" applyNumberFormat="1" applyFont="1" applyFill="1"/>
    <xf numFmtId="3" fontId="50" fillId="3" borderId="63" xfId="12" applyNumberFormat="1" applyFont="1" applyFill="1" applyBorder="1" applyAlignment="1" applyProtection="1">
      <alignment horizontal="center" vertical="center" wrapText="1"/>
      <protection locked="0"/>
    </xf>
    <xf numFmtId="9" fontId="0" fillId="34" borderId="95" xfId="0" applyNumberFormat="1" applyFill="1" applyBorder="1" applyAlignment="1">
      <alignment horizontal="center" vertical="center" wrapText="1"/>
    </xf>
    <xf numFmtId="0" fontId="0" fillId="12" borderId="86" xfId="0" applyFill="1" applyBorder="1" applyAlignment="1">
      <alignment horizontal="center" vertical="center" wrapText="1"/>
    </xf>
    <xf numFmtId="9" fontId="0" fillId="34" borderId="72" xfId="0" applyNumberFormat="1" applyFill="1" applyBorder="1" applyAlignment="1">
      <alignment horizontal="center" vertical="center" wrapText="1"/>
    </xf>
    <xf numFmtId="9" fontId="0" fillId="34" borderId="17" xfId="0" applyNumberFormat="1" applyFill="1" applyBorder="1" applyAlignment="1">
      <alignment horizontal="center" vertical="center" wrapText="1"/>
    </xf>
    <xf numFmtId="0" fontId="50" fillId="3" borderId="5" xfId="12" applyFont="1" applyFill="1" applyBorder="1" applyAlignment="1" applyProtection="1">
      <alignment horizontal="center" vertical="center" wrapText="1"/>
      <protection locked="0"/>
    </xf>
    <xf numFmtId="0" fontId="25" fillId="0" borderId="59" xfId="12" applyFont="1" applyBorder="1" applyAlignment="1">
      <alignment horizontal="right" vertical="center" wrapText="1"/>
    </xf>
    <xf numFmtId="0" fontId="50" fillId="3" borderId="59" xfId="12" applyFont="1" applyFill="1" applyBorder="1" applyAlignment="1" applyProtection="1">
      <alignment horizontal="center" vertical="center" wrapText="1"/>
      <protection locked="0"/>
    </xf>
    <xf numFmtId="0" fontId="25" fillId="0" borderId="61" xfId="12" applyFont="1" applyBorder="1" applyAlignment="1">
      <alignment horizontal="right" vertical="center" wrapText="1"/>
    </xf>
    <xf numFmtId="0" fontId="50" fillId="3" borderId="61" xfId="12" applyFont="1" applyFill="1" applyBorder="1" applyAlignment="1" applyProtection="1">
      <alignment horizontal="center" vertical="center" wrapText="1"/>
      <protection locked="0"/>
    </xf>
    <xf numFmtId="0" fontId="87" fillId="0" borderId="0" xfId="12" applyFont="1" applyAlignment="1">
      <alignment horizontal="center" vertical="center" wrapText="1"/>
    </xf>
    <xf numFmtId="0" fontId="25" fillId="0" borderId="66" xfId="12" applyFont="1" applyBorder="1" applyAlignment="1">
      <alignment horizontal="right" vertical="center" wrapText="1"/>
    </xf>
    <xf numFmtId="0" fontId="50" fillId="3" borderId="62" xfId="12" applyFont="1" applyFill="1" applyBorder="1" applyAlignment="1" applyProtection="1">
      <alignment horizontal="center" vertical="center"/>
      <protection locked="0"/>
    </xf>
    <xf numFmtId="0" fontId="49" fillId="0" borderId="58" xfId="12" applyFont="1" applyBorder="1" applyAlignment="1">
      <alignment horizontal="center" vertical="center"/>
    </xf>
    <xf numFmtId="166" fontId="49" fillId="0" borderId="81" xfId="12" applyNumberFormat="1" applyFont="1" applyBorder="1" applyAlignment="1">
      <alignment horizontal="center" vertical="center"/>
    </xf>
    <xf numFmtId="9" fontId="25" fillId="0" borderId="62" xfId="13" applyFont="1" applyBorder="1" applyAlignment="1">
      <alignment horizontal="left" vertical="center" wrapText="1"/>
    </xf>
    <xf numFmtId="0" fontId="50" fillId="3" borderId="68" xfId="12" applyFont="1" applyFill="1" applyBorder="1" applyAlignment="1" applyProtection="1">
      <alignment horizontal="center" vertical="center"/>
      <protection locked="0"/>
    </xf>
    <xf numFmtId="0" fontId="49" fillId="0" borderId="43" xfId="12" applyFont="1" applyBorder="1" applyAlignment="1">
      <alignment horizontal="center" vertical="center" wrapText="1"/>
    </xf>
    <xf numFmtId="0" fontId="49" fillId="0" borderId="64" xfId="12" applyFont="1" applyBorder="1" applyAlignment="1">
      <alignment horizontal="center" vertical="center" wrapText="1"/>
    </xf>
    <xf numFmtId="0" fontId="3" fillId="0" borderId="0" xfId="12" applyFont="1"/>
    <xf numFmtId="44" fontId="50" fillId="0" borderId="85" xfId="15" applyFont="1" applyBorder="1" applyAlignment="1" applyProtection="1">
      <alignment horizontal="center" vertical="center"/>
      <protection locked="0"/>
    </xf>
    <xf numFmtId="44" fontId="50" fillId="0" borderId="82" xfId="15" applyFont="1" applyBorder="1" applyAlignment="1" applyProtection="1">
      <alignment horizontal="center" vertical="center"/>
      <protection locked="0"/>
    </xf>
    <xf numFmtId="44" fontId="50" fillId="0" borderId="84" xfId="15" applyFont="1" applyBorder="1" applyAlignment="1" applyProtection="1">
      <alignment horizontal="center" vertical="center"/>
      <protection locked="0"/>
    </xf>
    <xf numFmtId="44" fontId="50" fillId="0" borderId="89" xfId="15" applyFont="1" applyBorder="1" applyAlignment="1" applyProtection="1">
      <alignment horizontal="center" vertical="center"/>
      <protection locked="0"/>
    </xf>
    <xf numFmtId="0" fontId="25" fillId="0" borderId="40" xfId="12" applyFont="1" applyBorder="1" applyAlignment="1">
      <alignment horizontal="center" vertical="center" wrapText="1"/>
    </xf>
    <xf numFmtId="0" fontId="49" fillId="0" borderId="42" xfId="12" applyFont="1" applyBorder="1" applyAlignment="1">
      <alignment horizontal="center" vertical="center" wrapText="1"/>
    </xf>
    <xf numFmtId="0" fontId="71" fillId="23" borderId="65" xfId="12" applyFont="1" applyFill="1" applyBorder="1" applyAlignment="1">
      <alignment horizontal="center" vertical="center" wrapText="1"/>
    </xf>
    <xf numFmtId="0" fontId="71" fillId="23" borderId="5" xfId="12" applyFont="1" applyFill="1" applyBorder="1" applyAlignment="1">
      <alignment horizontal="center" vertical="center" wrapText="1"/>
    </xf>
    <xf numFmtId="0" fontId="71" fillId="23" borderId="63" xfId="12" applyFont="1" applyFill="1" applyBorder="1" applyAlignment="1">
      <alignment horizontal="center" vertical="center" wrapText="1"/>
    </xf>
    <xf numFmtId="0" fontId="0" fillId="22" borderId="64" xfId="0" applyFill="1" applyBorder="1" applyAlignment="1">
      <alignment horizontal="center" vertical="center" wrapText="1"/>
    </xf>
    <xf numFmtId="0" fontId="50" fillId="0" borderId="0" xfId="12" applyFont="1" applyAlignment="1">
      <alignment horizontal="center" vertical="center" wrapText="1"/>
    </xf>
    <xf numFmtId="0" fontId="88" fillId="0" borderId="88" xfId="11" applyFont="1" applyBorder="1" applyAlignment="1">
      <alignment horizontal="right" vertical="center" wrapText="1"/>
    </xf>
    <xf numFmtId="0" fontId="49" fillId="0" borderId="5" xfId="12" applyFont="1" applyBorder="1" applyAlignment="1">
      <alignment horizontal="center" vertical="center" wrapText="1"/>
    </xf>
    <xf numFmtId="0" fontId="50" fillId="0" borderId="5" xfId="12" applyFont="1" applyBorder="1" applyAlignment="1" applyProtection="1">
      <alignment horizontal="center" vertical="center"/>
      <protection locked="0"/>
    </xf>
    <xf numFmtId="44" fontId="50" fillId="0" borderId="5" xfId="15" applyFont="1" applyBorder="1" applyAlignment="1" applyProtection="1">
      <alignment horizontal="center" vertical="center"/>
      <protection locked="0"/>
    </xf>
    <xf numFmtId="44" fontId="71" fillId="0" borderId="5" xfId="15" applyFont="1" applyBorder="1" applyAlignment="1" applyProtection="1">
      <alignment horizontal="center" vertical="center"/>
      <protection locked="0"/>
    </xf>
    <xf numFmtId="0" fontId="9" fillId="0" borderId="5" xfId="12" applyFont="1" applyBorder="1"/>
    <xf numFmtId="176" fontId="9" fillId="0" borderId="5" xfId="15" applyNumberFormat="1" applyFont="1" applyBorder="1"/>
    <xf numFmtId="0" fontId="50" fillId="0" borderId="16" xfId="12" applyFont="1" applyBorder="1" applyAlignment="1" applyProtection="1">
      <alignment horizontal="center" vertical="center"/>
      <protection locked="0"/>
    </xf>
    <xf numFmtId="44" fontId="50" fillId="0" borderId="16" xfId="15" applyFont="1" applyBorder="1" applyAlignment="1" applyProtection="1">
      <alignment horizontal="center" vertical="center"/>
      <protection locked="0"/>
    </xf>
    <xf numFmtId="44" fontId="71" fillId="0" borderId="16" xfId="15" applyFont="1" applyBorder="1" applyAlignment="1" applyProtection="1">
      <alignment horizontal="center" vertical="center"/>
      <protection locked="0"/>
    </xf>
    <xf numFmtId="0" fontId="50" fillId="0" borderId="59" xfId="12" applyFont="1" applyBorder="1" applyAlignment="1" applyProtection="1">
      <alignment horizontal="center" vertical="center"/>
      <protection locked="0"/>
    </xf>
    <xf numFmtId="0" fontId="50" fillId="0" borderId="61" xfId="12" applyFont="1" applyBorder="1" applyAlignment="1" applyProtection="1">
      <alignment horizontal="center" vertical="center"/>
      <protection locked="0"/>
    </xf>
    <xf numFmtId="44" fontId="50" fillId="0" borderId="61" xfId="15" applyFont="1" applyBorder="1" applyAlignment="1" applyProtection="1">
      <alignment horizontal="center" vertical="center"/>
      <protection locked="0"/>
    </xf>
    <xf numFmtId="44" fontId="71" fillId="0" borderId="61" xfId="15" applyFont="1" applyBorder="1" applyAlignment="1" applyProtection="1">
      <alignment horizontal="center" vertical="center"/>
      <protection locked="0"/>
    </xf>
    <xf numFmtId="0" fontId="25" fillId="0" borderId="79" xfId="12" applyFont="1" applyBorder="1" applyAlignment="1">
      <alignment horizontal="left" vertical="center" wrapText="1"/>
    </xf>
    <xf numFmtId="0" fontId="50" fillId="3" borderId="16" xfId="12" applyFont="1" applyFill="1" applyBorder="1" applyAlignment="1" applyProtection="1">
      <alignment horizontal="center" vertical="center" wrapText="1"/>
      <protection locked="0"/>
    </xf>
    <xf numFmtId="0" fontId="25" fillId="0" borderId="16" xfId="12" applyFont="1" applyBorder="1" applyAlignment="1">
      <alignment horizontal="right" vertical="center" wrapText="1"/>
    </xf>
    <xf numFmtId="0" fontId="50" fillId="3" borderId="14" xfId="12" applyFont="1" applyFill="1" applyBorder="1" applyAlignment="1" applyProtection="1">
      <alignment horizontal="center" vertical="center"/>
      <protection locked="0"/>
    </xf>
    <xf numFmtId="0" fontId="87" fillId="0" borderId="22" xfId="12" applyFont="1" applyBorder="1" applyAlignment="1">
      <alignment horizontal="center" vertical="center" wrapText="1"/>
    </xf>
    <xf numFmtId="176" fontId="58" fillId="0" borderId="22" xfId="15" applyNumberFormat="1" applyFont="1" applyBorder="1" applyAlignment="1">
      <alignment horizontal="center" vertical="center" wrapText="1"/>
    </xf>
    <xf numFmtId="0" fontId="49" fillId="0" borderId="87" xfId="12" applyFont="1" applyBorder="1" applyAlignment="1">
      <alignment horizontal="left" vertical="center" wrapText="1" indent="1"/>
    </xf>
    <xf numFmtId="0" fontId="49" fillId="43" borderId="16" xfId="12" applyFont="1" applyFill="1" applyBorder="1" applyAlignment="1">
      <alignment horizontal="center" vertical="center"/>
    </xf>
    <xf numFmtId="166" fontId="49" fillId="43" borderId="16" xfId="12" applyNumberFormat="1" applyFont="1" applyFill="1" applyBorder="1" applyAlignment="1">
      <alignment horizontal="center" vertical="center"/>
    </xf>
    <xf numFmtId="0" fontId="49" fillId="43" borderId="16" xfId="12" applyFont="1" applyFill="1" applyBorder="1" applyAlignment="1">
      <alignment horizontal="center" vertical="center" wrapText="1"/>
    </xf>
    <xf numFmtId="0" fontId="86" fillId="43" borderId="0" xfId="0" applyFont="1" applyFill="1"/>
    <xf numFmtId="0" fontId="2" fillId="43" borderId="0" xfId="12" applyFont="1" applyFill="1"/>
    <xf numFmtId="0" fontId="51" fillId="43" borderId="37" xfId="12" applyFont="1" applyFill="1" applyBorder="1" applyAlignment="1">
      <alignment horizontal="center" vertical="center"/>
    </xf>
    <xf numFmtId="0" fontId="25" fillId="43" borderId="21" xfId="12" applyFont="1" applyFill="1" applyBorder="1" applyAlignment="1">
      <alignment horizontal="center" vertical="center" wrapText="1"/>
    </xf>
    <xf numFmtId="0" fontId="25" fillId="43" borderId="38" xfId="12" applyFont="1" applyFill="1" applyBorder="1" applyAlignment="1">
      <alignment horizontal="left" vertical="center" wrapText="1"/>
    </xf>
    <xf numFmtId="0" fontId="25" fillId="43" borderId="37" xfId="12" applyFont="1" applyFill="1" applyBorder="1" applyAlignment="1">
      <alignment horizontal="right" vertical="center" wrapText="1"/>
    </xf>
    <xf numFmtId="0" fontId="50" fillId="43" borderId="21" xfId="12" applyFont="1" applyFill="1" applyBorder="1" applyAlignment="1" applyProtection="1">
      <alignment horizontal="center" vertical="center" wrapText="1"/>
      <protection locked="0"/>
    </xf>
    <xf numFmtId="0" fontId="25" fillId="43" borderId="21" xfId="12" applyFont="1" applyFill="1" applyBorder="1" applyAlignment="1">
      <alignment horizontal="right" vertical="center" wrapText="1"/>
    </xf>
    <xf numFmtId="0" fontId="50" fillId="43" borderId="11" xfId="12" applyFont="1" applyFill="1" applyBorder="1" applyAlignment="1" applyProtection="1">
      <alignment horizontal="center" vertical="center"/>
      <protection locked="0"/>
    </xf>
    <xf numFmtId="44" fontId="50" fillId="43" borderId="45" xfId="15" applyFont="1" applyFill="1" applyBorder="1" applyAlignment="1" applyProtection="1">
      <alignment horizontal="center" vertical="center"/>
      <protection locked="0"/>
    </xf>
    <xf numFmtId="0" fontId="50" fillId="43" borderId="21" xfId="12" applyFont="1" applyFill="1" applyBorder="1" applyAlignment="1" applyProtection="1">
      <alignment horizontal="center" vertical="center"/>
      <protection locked="0"/>
    </xf>
    <xf numFmtId="44" fontId="50" fillId="43" borderId="21" xfId="15" applyFont="1" applyFill="1" applyBorder="1" applyAlignment="1" applyProtection="1">
      <alignment horizontal="center" vertical="center"/>
      <protection locked="0"/>
    </xf>
    <xf numFmtId="44" fontId="71" fillId="43" borderId="21" xfId="15" applyFont="1" applyFill="1" applyBorder="1" applyAlignment="1" applyProtection="1">
      <alignment horizontal="center" vertical="center"/>
      <protection locked="0"/>
    </xf>
    <xf numFmtId="0" fontId="25" fillId="43" borderId="0" xfId="12" applyFont="1" applyFill="1" applyAlignment="1">
      <alignment horizontal="center" vertical="center" wrapText="1"/>
    </xf>
    <xf numFmtId="0" fontId="9" fillId="43" borderId="0" xfId="12" applyFont="1" applyFill="1"/>
    <xf numFmtId="10" fontId="50" fillId="23" borderId="0" xfId="10" applyNumberFormat="1" applyFont="1" applyFill="1" applyBorder="1" applyAlignment="1">
      <alignment horizontal="center" vertical="center" wrapText="1"/>
    </xf>
    <xf numFmtId="0" fontId="50" fillId="3" borderId="36" xfId="12" applyFont="1" applyFill="1" applyBorder="1" applyAlignment="1" applyProtection="1">
      <alignment horizontal="center" vertical="center"/>
      <protection locked="0"/>
    </xf>
    <xf numFmtId="0" fontId="50" fillId="0" borderId="22" xfId="12" applyFont="1" applyBorder="1" applyAlignment="1" applyProtection="1">
      <alignment horizontal="center" vertical="center"/>
      <protection locked="0"/>
    </xf>
    <xf numFmtId="44" fontId="50" fillId="0" borderId="22" xfId="15" applyFont="1" applyBorder="1" applyAlignment="1" applyProtection="1">
      <alignment horizontal="center" vertical="center"/>
      <protection locked="0"/>
    </xf>
    <xf numFmtId="44" fontId="71" fillId="0" borderId="22" xfId="15" applyFont="1" applyBorder="1" applyAlignment="1" applyProtection="1">
      <alignment horizontal="center" vertical="center"/>
      <protection locked="0"/>
    </xf>
    <xf numFmtId="0" fontId="9" fillId="0" borderId="16" xfId="12" applyFont="1" applyBorder="1"/>
    <xf numFmtId="176" fontId="9" fillId="0" borderId="16" xfId="15" applyNumberFormat="1" applyFont="1" applyBorder="1"/>
    <xf numFmtId="176" fontId="5" fillId="23" borderId="0" xfId="15" applyNumberFormat="1" applyFont="1" applyFill="1" applyBorder="1"/>
    <xf numFmtId="176" fontId="9" fillId="23" borderId="0" xfId="15" applyNumberFormat="1" applyFont="1" applyFill="1" applyBorder="1"/>
    <xf numFmtId="0" fontId="50" fillId="3" borderId="6" xfId="12" applyFont="1" applyFill="1" applyBorder="1" applyAlignment="1" applyProtection="1">
      <alignment horizontal="center" vertical="center" wrapText="1"/>
      <protection locked="0"/>
    </xf>
    <xf numFmtId="0" fontId="50" fillId="3" borderId="69" xfId="12" applyFont="1" applyFill="1" applyBorder="1" applyAlignment="1" applyProtection="1">
      <alignment horizontal="center" vertical="center" wrapText="1"/>
      <protection locked="0"/>
    </xf>
    <xf numFmtId="0" fontId="25" fillId="25" borderId="65" xfId="12" applyFont="1" applyFill="1" applyBorder="1" applyAlignment="1">
      <alignment horizontal="right" vertical="center" wrapText="1"/>
    </xf>
    <xf numFmtId="0" fontId="25" fillId="0" borderId="65" xfId="12" applyFont="1" applyBorder="1" applyAlignment="1">
      <alignment horizontal="right" vertical="center"/>
    </xf>
    <xf numFmtId="44" fontId="71" fillId="0" borderId="64" xfId="15" applyFont="1" applyBorder="1" applyAlignment="1" applyProtection="1">
      <alignment horizontal="center" vertical="center"/>
      <protection locked="0"/>
    </xf>
    <xf numFmtId="0" fontId="25" fillId="0" borderId="0" xfId="12" applyFont="1" applyAlignment="1">
      <alignment vertical="center" wrapText="1"/>
    </xf>
    <xf numFmtId="44" fontId="50" fillId="0" borderId="64" xfId="15" applyFont="1" applyBorder="1" applyAlignment="1" applyProtection="1">
      <alignment horizontal="center" vertical="center"/>
      <protection locked="0"/>
    </xf>
    <xf numFmtId="1" fontId="82" fillId="4" borderId="70" xfId="9" applyNumberFormat="1" applyFont="1" applyFill="1" applyBorder="1" applyAlignment="1">
      <alignment horizontal="center" vertical="center"/>
    </xf>
    <xf numFmtId="1" fontId="50" fillId="4" borderId="65" xfId="9" applyNumberFormat="1" applyFont="1" applyFill="1" applyBorder="1" applyAlignment="1">
      <alignment horizontal="center" vertical="center" wrapText="1"/>
    </xf>
    <xf numFmtId="1" fontId="50" fillId="4" borderId="66" xfId="9" applyNumberFormat="1" applyFont="1" applyFill="1" applyBorder="1" applyAlignment="1">
      <alignment horizontal="center" vertical="center"/>
    </xf>
    <xf numFmtId="9" fontId="50" fillId="4" borderId="61" xfId="10" applyFont="1" applyFill="1" applyBorder="1" applyAlignment="1">
      <alignment horizontal="center" vertical="center" wrapText="1"/>
    </xf>
    <xf numFmtId="1" fontId="82" fillId="4" borderId="35" xfId="9" applyNumberFormat="1" applyFont="1" applyFill="1" applyBorder="1" applyAlignment="1">
      <alignment horizontal="center" vertical="center"/>
    </xf>
    <xf numFmtId="0" fontId="25" fillId="0" borderId="0" xfId="12" applyFont="1" applyAlignment="1">
      <alignment horizontal="center" vertical="center" wrapText="1"/>
    </xf>
    <xf numFmtId="44" fontId="50" fillId="7" borderId="82" xfId="15" applyFont="1" applyFill="1" applyBorder="1" applyAlignment="1" applyProtection="1">
      <alignment horizontal="center" vertical="center"/>
      <protection locked="0"/>
    </xf>
    <xf numFmtId="0" fontId="50" fillId="3" borderId="79" xfId="12" applyFont="1" applyFill="1" applyBorder="1" applyAlignment="1" applyProtection="1">
      <alignment horizontal="center" vertical="center"/>
      <protection locked="0"/>
    </xf>
    <xf numFmtId="44" fontId="50" fillId="0" borderId="59" xfId="15" applyFont="1" applyBorder="1" applyAlignment="1" applyProtection="1">
      <alignment horizontal="center" vertical="center"/>
      <protection locked="0"/>
    </xf>
    <xf numFmtId="44" fontId="71" fillId="0" borderId="59" xfId="15" applyFont="1" applyBorder="1" applyAlignment="1" applyProtection="1">
      <alignment horizontal="center" vertical="center"/>
      <protection locked="0"/>
    </xf>
    <xf numFmtId="0" fontId="50" fillId="3" borderId="14" xfId="12" applyFont="1" applyFill="1" applyBorder="1" applyAlignment="1" applyProtection="1">
      <alignment horizontal="center" vertical="center" wrapText="1"/>
      <protection locked="0"/>
    </xf>
    <xf numFmtId="44" fontId="90" fillId="0" borderId="16" xfId="15" applyFont="1" applyBorder="1" applyAlignment="1" applyProtection="1">
      <alignment horizontal="center" vertical="center"/>
      <protection locked="0"/>
    </xf>
    <xf numFmtId="44" fontId="89" fillId="0" borderId="16" xfId="15" applyFont="1" applyBorder="1" applyAlignment="1" applyProtection="1">
      <alignment horizontal="center" vertical="center"/>
      <protection locked="0"/>
    </xf>
    <xf numFmtId="0" fontId="89" fillId="0" borderId="16" xfId="12" applyFont="1" applyBorder="1" applyAlignment="1" applyProtection="1">
      <alignment horizontal="center" vertical="center"/>
      <protection locked="0"/>
    </xf>
    <xf numFmtId="44" fontId="89" fillId="0" borderId="85" xfId="15" applyFont="1" applyBorder="1" applyAlignment="1" applyProtection="1">
      <alignment horizontal="center" vertical="center"/>
      <protection locked="0"/>
    </xf>
    <xf numFmtId="0" fontId="89" fillId="3" borderId="16" xfId="12" applyFont="1" applyFill="1" applyBorder="1" applyAlignment="1" applyProtection="1">
      <alignment horizontal="center" vertical="center" wrapText="1"/>
      <protection locked="0"/>
    </xf>
    <xf numFmtId="0" fontId="91" fillId="0" borderId="60" xfId="12" applyFont="1" applyBorder="1" applyAlignment="1">
      <alignment horizontal="left" vertical="center" wrapText="1"/>
    </xf>
    <xf numFmtId="0" fontId="91" fillId="0" borderId="67" xfId="12" applyFont="1" applyBorder="1" applyAlignment="1">
      <alignment horizontal="right" vertical="center" wrapText="1"/>
    </xf>
    <xf numFmtId="0" fontId="91" fillId="0" borderId="59" xfId="12" applyFont="1" applyBorder="1" applyAlignment="1">
      <alignment horizontal="right" vertical="center" wrapText="1"/>
    </xf>
    <xf numFmtId="0" fontId="91" fillId="0" borderId="61" xfId="12" applyFont="1" applyBorder="1" applyAlignment="1">
      <alignment horizontal="right" vertical="center" wrapText="1"/>
    </xf>
    <xf numFmtId="44" fontId="89" fillId="0" borderId="89" xfId="15" applyFont="1" applyBorder="1" applyAlignment="1" applyProtection="1">
      <alignment horizontal="center" vertical="center"/>
      <protection locked="0"/>
    </xf>
    <xf numFmtId="0" fontId="89" fillId="0" borderId="61" xfId="12" applyFont="1" applyBorder="1" applyAlignment="1" applyProtection="1">
      <alignment horizontal="center" vertical="center"/>
      <protection locked="0"/>
    </xf>
    <xf numFmtId="44" fontId="89" fillId="0" borderId="61" xfId="15" applyFont="1" applyBorder="1" applyAlignment="1" applyProtection="1">
      <alignment horizontal="center" vertical="center"/>
      <protection locked="0"/>
    </xf>
    <xf numFmtId="44" fontId="90" fillId="0" borderId="61" xfId="15" applyFont="1" applyBorder="1" applyAlignment="1" applyProtection="1">
      <alignment horizontal="center" vertical="center"/>
      <protection locked="0"/>
    </xf>
    <xf numFmtId="44" fontId="89" fillId="0" borderId="82" xfId="15" applyFont="1" applyBorder="1" applyAlignment="1" applyProtection="1">
      <alignment horizontal="center" vertical="center"/>
      <protection locked="0"/>
    </xf>
    <xf numFmtId="0" fontId="89" fillId="0" borderId="5" xfId="12" applyFont="1" applyBorder="1" applyAlignment="1" applyProtection="1">
      <alignment horizontal="center" vertical="center"/>
      <protection locked="0"/>
    </xf>
    <xf numFmtId="44" fontId="90" fillId="0" borderId="5" xfId="15" applyFont="1" applyBorder="1" applyAlignment="1" applyProtection="1">
      <alignment horizontal="center" vertical="center"/>
      <protection locked="0"/>
    </xf>
    <xf numFmtId="0" fontId="88" fillId="43" borderId="0" xfId="11" applyFont="1" applyFill="1" applyBorder="1" applyAlignment="1">
      <alignment horizontal="right" vertical="center" wrapText="1"/>
    </xf>
    <xf numFmtId="0" fontId="20" fillId="0" borderId="0" xfId="11" applyBorder="1" applyAlignment="1">
      <alignment wrapText="1"/>
    </xf>
    <xf numFmtId="0" fontId="88" fillId="0" borderId="13" xfId="11" applyFont="1" applyBorder="1" applyAlignment="1">
      <alignment horizontal="right" vertical="center" wrapText="1"/>
    </xf>
    <xf numFmtId="0" fontId="88" fillId="0" borderId="7" xfId="11" applyFont="1" applyBorder="1" applyAlignment="1">
      <alignment horizontal="right" vertical="center" wrapText="1"/>
    </xf>
    <xf numFmtId="0" fontId="25" fillId="0" borderId="7" xfId="12" applyFont="1" applyBorder="1" applyAlignment="1">
      <alignment horizontal="right" vertical="center" wrapText="1"/>
    </xf>
    <xf numFmtId="0" fontId="88" fillId="0" borderId="83" xfId="11" applyFont="1" applyBorder="1" applyAlignment="1">
      <alignment horizontal="right" vertical="center" wrapText="1"/>
    </xf>
    <xf numFmtId="0" fontId="88" fillId="0" borderId="5" xfId="11" applyFont="1" applyBorder="1" applyAlignment="1">
      <alignment horizontal="right" vertical="center" wrapText="1"/>
    </xf>
    <xf numFmtId="10" fontId="89" fillId="0" borderId="5" xfId="10" applyNumberFormat="1" applyFont="1" applyBorder="1" applyAlignment="1">
      <alignment horizontal="center" vertical="center" wrapText="1"/>
    </xf>
    <xf numFmtId="44" fontId="50" fillId="0" borderId="67" xfId="15" applyFont="1" applyFill="1" applyBorder="1" applyAlignment="1" applyProtection="1">
      <alignment horizontal="center" vertical="center"/>
      <protection locked="0"/>
    </xf>
    <xf numFmtId="0" fontId="88" fillId="0" borderId="29" xfId="11" applyFont="1" applyBorder="1" applyAlignment="1">
      <alignment horizontal="right" vertical="center" wrapText="1"/>
    </xf>
    <xf numFmtId="0" fontId="88" fillId="0" borderId="60" xfId="11" applyFont="1" applyBorder="1" applyAlignment="1">
      <alignment horizontal="right" vertical="center" wrapText="1"/>
    </xf>
    <xf numFmtId="0" fontId="88" fillId="0" borderId="63" xfId="11" applyFont="1" applyBorder="1" applyAlignment="1">
      <alignment horizontal="right" vertical="center" wrapText="1"/>
    </xf>
    <xf numFmtId="0" fontId="88" fillId="0" borderId="62" xfId="11" applyFont="1" applyBorder="1" applyAlignment="1">
      <alignment horizontal="right" vertical="center" wrapText="1"/>
    </xf>
    <xf numFmtId="0" fontId="89" fillId="3" borderId="68" xfId="12" applyFont="1" applyFill="1" applyBorder="1" applyAlignment="1" applyProtection="1">
      <alignment horizontal="center" vertical="center"/>
      <protection locked="0"/>
    </xf>
    <xf numFmtId="0" fontId="89" fillId="3" borderId="69" xfId="12" applyFont="1" applyFill="1" applyBorder="1" applyAlignment="1" applyProtection="1">
      <alignment horizontal="center" vertical="center"/>
      <protection locked="0"/>
    </xf>
    <xf numFmtId="0" fontId="88" fillId="43" borderId="22" xfId="11" applyFont="1" applyFill="1" applyBorder="1" applyAlignment="1">
      <alignment horizontal="right" vertical="center" wrapText="1"/>
    </xf>
    <xf numFmtId="0" fontId="49" fillId="0" borderId="64" xfId="12" applyFont="1" applyBorder="1" applyAlignment="1">
      <alignment horizontal="left" vertical="center" wrapText="1" indent="1"/>
    </xf>
    <xf numFmtId="0" fontId="49" fillId="43" borderId="16" xfId="12" applyFont="1" applyFill="1" applyBorder="1" applyAlignment="1">
      <alignment horizontal="left" vertical="center" wrapText="1" indent="1"/>
    </xf>
    <xf numFmtId="0" fontId="49" fillId="43" borderId="14" xfId="12" applyFont="1" applyFill="1" applyBorder="1" applyAlignment="1">
      <alignment horizontal="left" vertical="center" wrapText="1" indent="1"/>
    </xf>
    <xf numFmtId="0" fontId="49" fillId="0" borderId="59" xfId="12" applyFont="1" applyBorder="1" applyAlignment="1">
      <alignment horizontal="center" vertical="center" wrapText="1"/>
    </xf>
    <xf numFmtId="0" fontId="89" fillId="3" borderId="5" xfId="12" applyFont="1" applyFill="1" applyBorder="1" applyAlignment="1" applyProtection="1">
      <alignment horizontal="center" vertical="center" wrapText="1"/>
      <protection locked="0"/>
    </xf>
    <xf numFmtId="10" fontId="20" fillId="0" borderId="7" xfId="11" applyNumberFormat="1" applyFill="1" applyBorder="1" applyAlignment="1">
      <alignment horizontal="center" vertical="center" wrapText="1"/>
    </xf>
    <xf numFmtId="44" fontId="50" fillId="0" borderId="82" xfId="15" applyFont="1" applyFill="1" applyBorder="1" applyAlignment="1" applyProtection="1">
      <alignment horizontal="center" vertical="center"/>
      <protection locked="0"/>
    </xf>
    <xf numFmtId="0" fontId="91" fillId="0" borderId="83" xfId="12" applyFont="1" applyBorder="1" applyAlignment="1">
      <alignment horizontal="right" vertical="center" wrapText="1"/>
    </xf>
    <xf numFmtId="0" fontId="25" fillId="0" borderId="5" xfId="12" applyFont="1" applyBorder="1" applyAlignment="1">
      <alignment vertical="center" wrapText="1"/>
    </xf>
    <xf numFmtId="0" fontId="93" fillId="0" borderId="63" xfId="12" applyFont="1" applyBorder="1" applyAlignment="1">
      <alignment horizontal="left" vertical="center" wrapText="1"/>
    </xf>
    <xf numFmtId="0" fontId="93" fillId="0" borderId="62" xfId="12" applyFont="1" applyBorder="1" applyAlignment="1">
      <alignment horizontal="left" vertical="center" wrapText="1"/>
    </xf>
    <xf numFmtId="177" fontId="50" fillId="0" borderId="89" xfId="15" applyNumberFormat="1" applyFont="1" applyBorder="1" applyAlignment="1" applyProtection="1">
      <alignment horizontal="center" vertical="center"/>
      <protection locked="0"/>
    </xf>
    <xf numFmtId="0" fontId="50" fillId="0" borderId="0" xfId="12" applyFont="1"/>
    <xf numFmtId="43" fontId="50" fillId="0" borderId="0" xfId="9" applyFont="1" applyAlignment="1">
      <alignment horizontal="center" vertical="center"/>
    </xf>
    <xf numFmtId="44" fontId="89" fillId="7" borderId="82" xfId="15" applyFont="1" applyFill="1" applyBorder="1" applyAlignment="1" applyProtection="1">
      <alignment horizontal="center" vertical="center"/>
      <protection locked="0"/>
    </xf>
    <xf numFmtId="10" fontId="20" fillId="0" borderId="7" xfId="11" applyNumberFormat="1" applyBorder="1" applyAlignment="1">
      <alignment horizontal="center" vertical="center" wrapText="1"/>
    </xf>
    <xf numFmtId="0" fontId="2" fillId="43" borderId="5" xfId="12" applyFont="1" applyFill="1" applyBorder="1"/>
    <xf numFmtId="0" fontId="64" fillId="0" borderId="5" xfId="12" applyFont="1" applyBorder="1" applyAlignment="1">
      <alignment vertical="center"/>
    </xf>
    <xf numFmtId="0" fontId="5" fillId="0" borderId="5" xfId="12" applyFont="1" applyBorder="1"/>
    <xf numFmtId="164" fontId="66" fillId="0" borderId="5" xfId="9" applyNumberFormat="1" applyFont="1" applyFill="1" applyBorder="1" applyAlignment="1"/>
    <xf numFmtId="0" fontId="50" fillId="0" borderId="5" xfId="12" applyFont="1" applyBorder="1" applyAlignment="1">
      <alignment horizontal="center" vertical="center"/>
    </xf>
    <xf numFmtId="0" fontId="9" fillId="43" borderId="5" xfId="12" applyFont="1" applyFill="1" applyBorder="1"/>
    <xf numFmtId="0" fontId="95" fillId="0" borderId="5" xfId="12" applyFont="1" applyBorder="1"/>
    <xf numFmtId="10" fontId="20" fillId="0" borderId="5" xfId="11" applyNumberFormat="1" applyBorder="1" applyAlignment="1">
      <alignment horizontal="center" vertical="center" wrapText="1"/>
    </xf>
    <xf numFmtId="0" fontId="50" fillId="0" borderId="5" xfId="12" applyFont="1" applyBorder="1"/>
    <xf numFmtId="0" fontId="58" fillId="0" borderId="5" xfId="12" applyFont="1" applyBorder="1"/>
    <xf numFmtId="0" fontId="25" fillId="0" borderId="6" xfId="12" applyFont="1" applyBorder="1" applyAlignment="1">
      <alignment horizontal="right" vertical="center" wrapText="1"/>
    </xf>
    <xf numFmtId="0" fontId="50" fillId="3" borderId="5" xfId="12" applyFont="1" applyFill="1" applyBorder="1" applyAlignment="1" applyProtection="1">
      <alignment horizontal="center" vertical="center"/>
      <protection locked="0"/>
    </xf>
    <xf numFmtId="0" fontId="25" fillId="0" borderId="65" xfId="12" applyFont="1" applyBorder="1" applyAlignment="1">
      <alignment horizontal="left" vertical="center" wrapText="1"/>
    </xf>
    <xf numFmtId="0" fontId="94" fillId="0" borderId="5" xfId="11" applyFont="1" applyBorder="1" applyAlignment="1">
      <alignment horizontal="right" vertical="center" wrapText="1"/>
    </xf>
    <xf numFmtId="44" fontId="50" fillId="0" borderId="5" xfId="15" applyFont="1" applyBorder="1"/>
    <xf numFmtId="44" fontId="89" fillId="0" borderId="5" xfId="15" applyFont="1" applyBorder="1"/>
    <xf numFmtId="0" fontId="25" fillId="0" borderId="0" xfId="12" applyFont="1" applyAlignment="1">
      <alignment horizontal="center" vertical="center"/>
    </xf>
    <xf numFmtId="10" fontId="88" fillId="0" borderId="7" xfId="11" applyNumberFormat="1" applyFont="1" applyBorder="1" applyAlignment="1">
      <alignment horizontal="center" vertical="center" wrapText="1"/>
    </xf>
    <xf numFmtId="44" fontId="50" fillId="0" borderId="5" xfId="15" applyFont="1" applyFill="1" applyBorder="1" applyAlignment="1" applyProtection="1">
      <alignment horizontal="center" vertical="center"/>
      <protection locked="0"/>
    </xf>
    <xf numFmtId="43" fontId="50" fillId="0" borderId="0" xfId="12" applyNumberFormat="1" applyFont="1"/>
    <xf numFmtId="44" fontId="50" fillId="0" borderId="65" xfId="12" applyNumberFormat="1" applyFont="1" applyBorder="1" applyAlignment="1">
      <alignment horizontal="center" vertical="center" wrapText="1"/>
    </xf>
    <xf numFmtId="0" fontId="26" fillId="43" borderId="14" xfId="12" applyFont="1" applyFill="1" applyBorder="1" applyAlignment="1">
      <alignment horizontal="left" vertical="center" wrapText="1" indent="1"/>
    </xf>
    <xf numFmtId="10" fontId="88" fillId="0" borderId="13" xfId="11" applyNumberFormat="1" applyFont="1" applyFill="1" applyBorder="1" applyAlignment="1">
      <alignment horizontal="center" vertical="center" wrapText="1"/>
    </xf>
    <xf numFmtId="10" fontId="88" fillId="0" borderId="7" xfId="11" applyNumberFormat="1" applyFont="1" applyFill="1" applyBorder="1" applyAlignment="1">
      <alignment horizontal="center" vertical="center" wrapText="1"/>
    </xf>
    <xf numFmtId="10" fontId="25" fillId="0" borderId="83" xfId="10" applyNumberFormat="1" applyFont="1" applyFill="1" applyBorder="1" applyAlignment="1">
      <alignment horizontal="center" vertical="center" wrapText="1"/>
    </xf>
    <xf numFmtId="10" fontId="25" fillId="0" borderId="7" xfId="10" applyNumberFormat="1" applyFont="1" applyFill="1" applyBorder="1" applyAlignment="1">
      <alignment horizontal="center" vertical="center" wrapText="1"/>
    </xf>
    <xf numFmtId="10" fontId="25" fillId="0" borderId="83" xfId="10" applyNumberFormat="1" applyFont="1" applyBorder="1" applyAlignment="1">
      <alignment horizontal="center" vertical="center" wrapText="1"/>
    </xf>
    <xf numFmtId="44" fontId="50" fillId="0" borderId="17" xfId="12" applyNumberFormat="1" applyFont="1" applyBorder="1" applyAlignment="1">
      <alignment horizontal="left" vertical="center"/>
    </xf>
    <xf numFmtId="2" fontId="50" fillId="0" borderId="5" xfId="15" applyNumberFormat="1" applyFont="1" applyBorder="1" applyAlignment="1" applyProtection="1">
      <alignment horizontal="center" vertical="center"/>
      <protection locked="0"/>
    </xf>
    <xf numFmtId="9" fontId="50" fillId="3" borderId="5" xfId="12" applyNumberFormat="1" applyFont="1" applyFill="1" applyBorder="1" applyAlignment="1" applyProtection="1">
      <alignment horizontal="center" vertical="center" wrapText="1"/>
      <protection locked="0"/>
    </xf>
    <xf numFmtId="9" fontId="89" fillId="3" borderId="59" xfId="12" applyNumberFormat="1" applyFont="1" applyFill="1" applyBorder="1" applyAlignment="1" applyProtection="1">
      <alignment horizontal="center" vertical="center" wrapText="1"/>
      <protection locked="0"/>
    </xf>
    <xf numFmtId="0" fontId="1" fillId="0" borderId="0" xfId="12" applyFont="1" applyAlignment="1">
      <alignment wrapText="1"/>
    </xf>
    <xf numFmtId="0" fontId="96" fillId="0" borderId="0" xfId="0" applyFont="1" applyAlignment="1">
      <alignment wrapText="1"/>
    </xf>
    <xf numFmtId="0" fontId="1" fillId="0" borderId="0" xfId="12" applyFont="1"/>
    <xf numFmtId="0" fontId="1" fillId="25" borderId="0" xfId="12" applyFont="1" applyFill="1"/>
    <xf numFmtId="0" fontId="1" fillId="43" borderId="0" xfId="12" applyFont="1" applyFill="1"/>
    <xf numFmtId="0" fontId="1" fillId="0" borderId="43" xfId="12" applyFont="1" applyBorder="1"/>
    <xf numFmtId="0" fontId="1" fillId="0" borderId="19" xfId="12" applyFont="1" applyBorder="1"/>
    <xf numFmtId="0" fontId="97" fillId="0" borderId="0" xfId="12" applyFont="1" applyAlignment="1">
      <alignment wrapText="1"/>
    </xf>
    <xf numFmtId="178" fontId="56" fillId="4" borderId="62" xfId="9" applyNumberFormat="1" applyFont="1" applyFill="1" applyBorder="1" applyAlignment="1">
      <alignment horizontal="center" vertical="center" wrapText="1"/>
    </xf>
    <xf numFmtId="0" fontId="25" fillId="0" borderId="11" xfId="12" applyFont="1" applyBorder="1" applyAlignment="1">
      <alignment horizontal="center" vertical="center" wrapText="1"/>
    </xf>
    <xf numFmtId="0" fontId="49" fillId="0" borderId="90" xfId="12" applyFont="1" applyBorder="1" applyAlignment="1">
      <alignment horizontal="center" vertical="center" wrapText="1"/>
    </xf>
    <xf numFmtId="177" fontId="50" fillId="4" borderId="6" xfId="10" applyNumberFormat="1" applyFont="1" applyFill="1" applyBorder="1" applyAlignment="1">
      <alignment horizontal="center" vertical="center" wrapText="1"/>
    </xf>
    <xf numFmtId="177" fontId="50" fillId="4" borderId="69" xfId="10" applyNumberFormat="1" applyFont="1" applyFill="1" applyBorder="1" applyAlignment="1">
      <alignment horizontal="center" vertical="center" wrapText="1"/>
    </xf>
    <xf numFmtId="177" fontId="50" fillId="4" borderId="13" xfId="10" applyNumberFormat="1" applyFont="1" applyFill="1" applyBorder="1" applyAlignment="1">
      <alignment horizontal="center" vertical="center" wrapText="1"/>
    </xf>
    <xf numFmtId="177" fontId="50" fillId="4" borderId="29" xfId="10" applyNumberFormat="1" applyFont="1" applyFill="1" applyBorder="1" applyAlignment="1">
      <alignment horizontal="center" vertical="center" wrapText="1"/>
    </xf>
    <xf numFmtId="0" fontId="49" fillId="23" borderId="67" xfId="12" applyFont="1" applyFill="1" applyBorder="1" applyAlignment="1">
      <alignment horizontal="center" vertical="center" wrapText="1"/>
    </xf>
    <xf numFmtId="0" fontId="49" fillId="23" borderId="59" xfId="12" applyFont="1" applyFill="1" applyBorder="1" applyAlignment="1">
      <alignment horizontal="center" vertical="center" wrapText="1"/>
    </xf>
    <xf numFmtId="0" fontId="49" fillId="23" borderId="60" xfId="12" applyFont="1" applyFill="1" applyBorder="1" applyAlignment="1">
      <alignment horizontal="center" vertical="center" wrapText="1"/>
    </xf>
    <xf numFmtId="1" fontId="56" fillId="4" borderId="66" xfId="9" applyNumberFormat="1" applyFont="1" applyFill="1" applyBorder="1" applyAlignment="1">
      <alignment horizontal="center" vertical="center" wrapText="1"/>
    </xf>
    <xf numFmtId="9" fontId="56" fillId="4" borderId="61" xfId="10" applyFont="1" applyFill="1" applyBorder="1" applyAlignment="1">
      <alignment horizontal="center" vertical="center" wrapText="1"/>
    </xf>
    <xf numFmtId="0" fontId="1" fillId="25" borderId="0" xfId="12" applyFont="1" applyFill="1" applyAlignment="1">
      <alignment horizontal="center" vertical="center"/>
    </xf>
    <xf numFmtId="0" fontId="1" fillId="23" borderId="0" xfId="12" applyFont="1" applyFill="1" applyAlignment="1">
      <alignment horizontal="center" vertical="center"/>
    </xf>
    <xf numFmtId="0" fontId="1" fillId="23" borderId="0" xfId="12" applyFont="1" applyFill="1"/>
    <xf numFmtId="1" fontId="66" fillId="4" borderId="67" xfId="9" applyNumberFormat="1" applyFont="1" applyFill="1" applyBorder="1" applyAlignment="1">
      <alignment horizontal="center" vertical="center"/>
    </xf>
    <xf numFmtId="1" fontId="66" fillId="4" borderId="59" xfId="9" applyNumberFormat="1" applyFont="1" applyFill="1" applyBorder="1" applyAlignment="1">
      <alignment horizontal="center" vertical="center"/>
    </xf>
    <xf numFmtId="1" fontId="66" fillId="4" borderId="60" xfId="9" applyNumberFormat="1" applyFont="1" applyFill="1" applyBorder="1" applyAlignment="1">
      <alignment horizontal="center" vertical="center"/>
    </xf>
    <xf numFmtId="0" fontId="25" fillId="0" borderId="0" xfId="12" applyFont="1" applyAlignment="1">
      <alignment vertical="top"/>
    </xf>
    <xf numFmtId="0" fontId="1" fillId="0" borderId="0" xfId="12" applyFont="1" applyAlignment="1">
      <alignment vertical="center" wrapText="1"/>
    </xf>
    <xf numFmtId="177" fontId="50" fillId="43" borderId="0" xfId="10" applyNumberFormat="1" applyFont="1" applyFill="1" applyBorder="1" applyAlignment="1">
      <alignment horizontal="center" vertical="center" wrapText="1"/>
    </xf>
    <xf numFmtId="0" fontId="50" fillId="0" borderId="63" xfId="12" applyFont="1" applyBorder="1" applyAlignment="1">
      <alignment horizontal="left" vertical="center" wrapText="1" indent="1"/>
    </xf>
    <xf numFmtId="0" fontId="98" fillId="0" borderId="0" xfId="12" applyFont="1" applyAlignment="1">
      <alignment wrapText="1"/>
    </xf>
    <xf numFmtId="0" fontId="1" fillId="0" borderId="0" xfId="12" applyFont="1" applyAlignment="1">
      <alignment horizontal="center" wrapText="1"/>
    </xf>
    <xf numFmtId="0" fontId="99" fillId="25" borderId="0" xfId="12" applyFont="1" applyFill="1"/>
    <xf numFmtId="0" fontId="99" fillId="0" borderId="0" xfId="12" applyFont="1"/>
    <xf numFmtId="167" fontId="50" fillId="0" borderId="6" xfId="12" applyNumberFormat="1" applyFont="1" applyBorder="1" applyAlignment="1" applyProtection="1">
      <alignment horizontal="center" vertical="center"/>
      <protection locked="0"/>
    </xf>
    <xf numFmtId="0" fontId="50" fillId="0" borderId="79" xfId="12" applyFont="1" applyBorder="1" applyAlignment="1">
      <alignment horizontal="left" vertical="center" wrapText="1" indent="1"/>
    </xf>
    <xf numFmtId="0" fontId="49" fillId="0" borderId="43" xfId="12" applyFont="1" applyBorder="1" applyAlignment="1">
      <alignment horizontal="left" vertical="center" wrapText="1" indent="1"/>
    </xf>
    <xf numFmtId="0" fontId="49" fillId="0" borderId="86" xfId="12" applyFont="1" applyBorder="1" applyAlignment="1">
      <alignment horizontal="left" vertical="center" wrapText="1" indent="1"/>
    </xf>
    <xf numFmtId="1" fontId="25" fillId="11" borderId="5" xfId="13" applyNumberFormat="1" applyFont="1" applyFill="1" applyBorder="1" applyAlignment="1">
      <alignment horizontal="center" vertical="center" wrapText="1"/>
    </xf>
    <xf numFmtId="0" fontId="83" fillId="0" borderId="6" xfId="12" applyFont="1" applyBorder="1" applyAlignment="1">
      <alignment horizontal="left" vertical="center" wrapText="1"/>
    </xf>
    <xf numFmtId="0" fontId="26" fillId="0" borderId="5" xfId="12" applyFont="1" applyBorder="1" applyAlignment="1">
      <alignment wrapText="1"/>
    </xf>
    <xf numFmtId="0" fontId="25" fillId="0" borderId="5" xfId="12" applyFont="1" applyBorder="1" applyAlignment="1">
      <alignment horizontal="left" vertical="center" wrapText="1"/>
    </xf>
    <xf numFmtId="0" fontId="2" fillId="0" borderId="0" xfId="12" applyFont="1"/>
    <xf numFmtId="0" fontId="26" fillId="0" borderId="0" xfId="0" applyFont="1"/>
    <xf numFmtId="0" fontId="1" fillId="0" borderId="5" xfId="12" applyFont="1" applyBorder="1"/>
    <xf numFmtId="0" fontId="20" fillId="0" borderId="7" xfId="11" applyBorder="1" applyAlignment="1">
      <alignment horizontal="right" vertical="center" wrapText="1"/>
    </xf>
    <xf numFmtId="0" fontId="50" fillId="0" borderId="5" xfId="12" applyFont="1" applyBorder="1" applyAlignment="1">
      <alignment horizontal="left" vertical="center"/>
    </xf>
    <xf numFmtId="6" fontId="50" fillId="0" borderId="5" xfId="12" applyNumberFormat="1" applyFont="1" applyBorder="1"/>
    <xf numFmtId="8" fontId="50" fillId="0" borderId="5" xfId="12" applyNumberFormat="1" applyFont="1" applyBorder="1"/>
    <xf numFmtId="0" fontId="50" fillId="0" borderId="5" xfId="12" applyFont="1" applyBorder="1" applyAlignment="1">
      <alignment horizontal="left" vertical="center" wrapText="1"/>
    </xf>
    <xf numFmtId="1" fontId="50" fillId="0" borderId="5" xfId="12" applyNumberFormat="1" applyFont="1" applyBorder="1"/>
    <xf numFmtId="1" fontId="25" fillId="0" borderId="0" xfId="15" applyNumberFormat="1" applyFont="1" applyAlignment="1">
      <alignment horizontal="center" vertical="center"/>
    </xf>
    <xf numFmtId="0" fontId="20" fillId="0" borderId="6" xfId="11" applyBorder="1" applyAlignment="1">
      <alignment horizontal="right" vertical="center" wrapText="1" indent="1"/>
    </xf>
    <xf numFmtId="176" fontId="1" fillId="0" borderId="5" xfId="15" applyNumberFormat="1" applyFont="1" applyBorder="1"/>
    <xf numFmtId="0" fontId="1" fillId="0" borderId="0" xfId="12" applyFont="1" applyAlignment="1">
      <alignment horizontal="center" vertical="center"/>
    </xf>
    <xf numFmtId="9" fontId="1" fillId="0" borderId="0" xfId="10" applyFont="1"/>
    <xf numFmtId="9" fontId="1" fillId="23" borderId="0" xfId="10" applyFont="1" applyFill="1"/>
    <xf numFmtId="0" fontId="1" fillId="43" borderId="5" xfId="12" applyFont="1" applyFill="1" applyBorder="1"/>
    <xf numFmtId="0" fontId="47" fillId="0" borderId="0" xfId="12" applyFont="1" applyAlignment="1">
      <alignment vertical="center"/>
    </xf>
    <xf numFmtId="0" fontId="1" fillId="0" borderId="5" xfId="12" applyFont="1" applyBorder="1" applyAlignment="1">
      <alignment vertical="center"/>
    </xf>
    <xf numFmtId="0" fontId="47" fillId="0" borderId="5" xfId="12" applyFont="1" applyBorder="1" applyAlignment="1">
      <alignment vertical="center"/>
    </xf>
    <xf numFmtId="164" fontId="66" fillId="0" borderId="0" xfId="9" applyNumberFormat="1" applyFont="1"/>
    <xf numFmtId="164" fontId="66" fillId="0" borderId="5" xfId="9" applyNumberFormat="1" applyFont="1" applyBorder="1"/>
    <xf numFmtId="9" fontId="56" fillId="0" borderId="0" xfId="10" applyFont="1" applyAlignment="1">
      <alignment horizontal="center" vertical="center" wrapText="1"/>
    </xf>
    <xf numFmtId="164" fontId="56" fillId="0" borderId="0" xfId="9" applyNumberFormat="1" applyFont="1" applyAlignment="1">
      <alignment horizontal="center" vertical="center" wrapText="1"/>
    </xf>
    <xf numFmtId="9" fontId="49" fillId="0" borderId="0" xfId="10" applyFont="1" applyAlignment="1">
      <alignment horizontal="left" vertical="center" wrapText="1"/>
    </xf>
    <xf numFmtId="0" fontId="1" fillId="25" borderId="5" xfId="12" applyFont="1" applyFill="1" applyBorder="1"/>
    <xf numFmtId="10" fontId="50" fillId="0" borderId="5" xfId="10" applyNumberFormat="1" applyFont="1" applyBorder="1" applyAlignment="1">
      <alignment horizontal="center" vertical="center" wrapText="1"/>
    </xf>
    <xf numFmtId="9" fontId="50" fillId="3" borderId="59" xfId="12" applyNumberFormat="1" applyFont="1" applyFill="1" applyBorder="1" applyAlignment="1" applyProtection="1">
      <alignment horizontal="center" vertical="center" wrapText="1"/>
      <protection locked="0"/>
    </xf>
    <xf numFmtId="10" fontId="25" fillId="0" borderId="7" xfId="10" applyNumberFormat="1" applyFont="1" applyBorder="1" applyAlignment="1">
      <alignment horizontal="center" vertical="center" wrapText="1"/>
    </xf>
    <xf numFmtId="176" fontId="1" fillId="23" borderId="0" xfId="15" applyNumberFormat="1" applyFont="1" applyFill="1"/>
    <xf numFmtId="10" fontId="50" fillId="23" borderId="0" xfId="10" applyNumberFormat="1" applyFont="1" applyFill="1" applyAlignment="1">
      <alignment horizontal="center" vertical="center" wrapText="1"/>
    </xf>
    <xf numFmtId="0" fontId="1" fillId="0" borderId="16" xfId="12" applyFont="1" applyBorder="1"/>
    <xf numFmtId="176" fontId="1" fillId="0" borderId="16" xfId="15" applyNumberFormat="1" applyFont="1" applyBorder="1"/>
    <xf numFmtId="44" fontId="89" fillId="5" borderId="89" xfId="15" applyFont="1" applyFill="1" applyBorder="1" applyAlignment="1" applyProtection="1">
      <alignment horizontal="center" vertical="center"/>
      <protection locked="0"/>
    </xf>
    <xf numFmtId="0" fontId="20" fillId="0" borderId="61" xfId="11" applyBorder="1" applyAlignment="1">
      <alignment wrapText="1"/>
    </xf>
    <xf numFmtId="44" fontId="50" fillId="0" borderId="20" xfId="15" applyFont="1" applyFill="1" applyBorder="1" applyAlignment="1" applyProtection="1">
      <alignment horizontal="center" vertical="center"/>
      <protection locked="0"/>
    </xf>
    <xf numFmtId="3" fontId="50" fillId="3" borderId="5" xfId="12" applyNumberFormat="1" applyFont="1" applyFill="1" applyBorder="1" applyAlignment="1" applyProtection="1">
      <alignment horizontal="center" vertical="center" wrapText="1"/>
      <protection locked="0"/>
    </xf>
    <xf numFmtId="0" fontId="1" fillId="0" borderId="44" xfId="12" applyFont="1" applyBorder="1"/>
    <xf numFmtId="0" fontId="20" fillId="0" borderId="63" xfId="11" applyBorder="1" applyAlignment="1">
      <alignment horizontal="right" vertical="center" wrapText="1" indent="1"/>
    </xf>
    <xf numFmtId="0" fontId="83" fillId="0" borderId="0" xfId="12" applyFont="1" applyAlignment="1">
      <alignment wrapText="1"/>
    </xf>
    <xf numFmtId="1" fontId="71" fillId="0" borderId="0" xfId="12" applyNumberFormat="1" applyFont="1"/>
    <xf numFmtId="0" fontId="1" fillId="0" borderId="46" xfId="12" applyFont="1" applyBorder="1"/>
    <xf numFmtId="0" fontId="20" fillId="0" borderId="69" xfId="11" applyBorder="1" applyAlignment="1">
      <alignment horizontal="left" vertical="center" wrapText="1" indent="1"/>
    </xf>
    <xf numFmtId="0" fontId="1" fillId="0" borderId="47" xfId="12" applyFont="1" applyBorder="1"/>
    <xf numFmtId="0" fontId="26" fillId="0" borderId="42" xfId="0" applyFont="1" applyBorder="1" applyAlignment="1">
      <alignment wrapText="1"/>
    </xf>
    <xf numFmtId="0" fontId="88" fillId="0" borderId="43" xfId="11" applyFont="1" applyFill="1" applyBorder="1"/>
    <xf numFmtId="0" fontId="9" fillId="0" borderId="44" xfId="12" applyFont="1" applyBorder="1"/>
    <xf numFmtId="0" fontId="1" fillId="0" borderId="45" xfId="12" applyFont="1" applyBorder="1"/>
    <xf numFmtId="0" fontId="2" fillId="0" borderId="46" xfId="12" applyFont="1" applyBorder="1"/>
    <xf numFmtId="0" fontId="9" fillId="0" borderId="46" xfId="12" applyFont="1" applyBorder="1"/>
    <xf numFmtId="0" fontId="50" fillId="0" borderId="46" xfId="12" applyFont="1" applyBorder="1" applyAlignment="1">
      <alignment horizontal="center" vertical="center"/>
    </xf>
    <xf numFmtId="0" fontId="26" fillId="0" borderId="65" xfId="12" applyFont="1" applyBorder="1" applyAlignment="1">
      <alignment wrapText="1"/>
    </xf>
    <xf numFmtId="0" fontId="26" fillId="0" borderId="63" xfId="12" applyFont="1" applyBorder="1" applyAlignment="1">
      <alignment wrapText="1"/>
    </xf>
    <xf numFmtId="0" fontId="50" fillId="0" borderId="65" xfId="12" applyFont="1" applyBorder="1" applyAlignment="1">
      <alignment horizontal="left" vertical="center"/>
    </xf>
    <xf numFmtId="8" fontId="50" fillId="0" borderId="63" xfId="12" applyNumberFormat="1" applyFont="1" applyBorder="1"/>
    <xf numFmtId="0" fontId="50" fillId="0" borderId="65" xfId="12" applyFont="1" applyBorder="1" applyAlignment="1">
      <alignment horizontal="left" vertical="center" wrapText="1"/>
    </xf>
    <xf numFmtId="0" fontId="50" fillId="0" borderId="65" xfId="12" applyFont="1" applyBorder="1"/>
    <xf numFmtId="0" fontId="50" fillId="0" borderId="66" xfId="12" applyFont="1" applyBorder="1"/>
    <xf numFmtId="0" fontId="50" fillId="0" borderId="61" xfId="12" applyFont="1" applyBorder="1"/>
    <xf numFmtId="1" fontId="50" fillId="0" borderId="62" xfId="12" applyNumberFormat="1" applyFont="1" applyBorder="1"/>
    <xf numFmtId="0" fontId="58" fillId="0" borderId="67" xfId="12" applyFont="1" applyBorder="1"/>
    <xf numFmtId="0" fontId="9" fillId="0" borderId="59" xfId="12" applyFont="1" applyBorder="1"/>
    <xf numFmtId="0" fontId="9" fillId="0" borderId="60" xfId="12" applyFont="1" applyBorder="1"/>
    <xf numFmtId="0" fontId="2" fillId="43" borderId="65" xfId="12" applyFont="1" applyFill="1" applyBorder="1"/>
    <xf numFmtId="0" fontId="2" fillId="43" borderId="63" xfId="12" applyFont="1" applyFill="1" applyBorder="1"/>
    <xf numFmtId="0" fontId="9" fillId="0" borderId="65" xfId="12" applyFont="1" applyBorder="1"/>
    <xf numFmtId="0" fontId="9" fillId="0" borderId="63" xfId="12" applyFont="1" applyBorder="1"/>
    <xf numFmtId="0" fontId="65" fillId="0" borderId="65" xfId="12" applyFont="1" applyBorder="1" applyAlignment="1">
      <alignment vertical="center"/>
    </xf>
    <xf numFmtId="0" fontId="8" fillId="0" borderId="63" xfId="12" applyFont="1" applyBorder="1"/>
    <xf numFmtId="164" fontId="66" fillId="0" borderId="65" xfId="9" applyNumberFormat="1" applyFont="1" applyFill="1" applyBorder="1" applyAlignment="1"/>
    <xf numFmtId="0" fontId="50" fillId="0" borderId="65" xfId="12" applyFont="1" applyBorder="1" applyAlignment="1">
      <alignment horizontal="center" vertical="center"/>
    </xf>
    <xf numFmtId="0" fontId="50" fillId="0" borderId="63" xfId="12" applyFont="1" applyBorder="1" applyAlignment="1">
      <alignment horizontal="center" vertical="center"/>
    </xf>
    <xf numFmtId="0" fontId="9" fillId="43" borderId="65" xfId="12" applyFont="1" applyFill="1" applyBorder="1"/>
    <xf numFmtId="0" fontId="9" fillId="43" borderId="63" xfId="12" applyFont="1" applyFill="1" applyBorder="1"/>
    <xf numFmtId="0" fontId="9" fillId="25" borderId="65" xfId="12" applyFont="1" applyFill="1" applyBorder="1"/>
    <xf numFmtId="0" fontId="95" fillId="0" borderId="65" xfId="12" applyFont="1" applyBorder="1"/>
    <xf numFmtId="0" fontId="94" fillId="0" borderId="65" xfId="11" applyFont="1" applyBorder="1" applyAlignment="1">
      <alignment horizontal="right" vertical="center" wrapText="1"/>
    </xf>
    <xf numFmtId="0" fontId="89" fillId="0" borderId="63" xfId="12" applyFont="1" applyBorder="1" applyAlignment="1" applyProtection="1">
      <alignment horizontal="center" vertical="center"/>
      <protection locked="0"/>
    </xf>
    <xf numFmtId="10" fontId="89" fillId="0" borderId="65" xfId="10" applyNumberFormat="1" applyFont="1" applyBorder="1" applyAlignment="1">
      <alignment horizontal="center" vertical="center" wrapText="1"/>
    </xf>
    <xf numFmtId="10" fontId="20" fillId="0" borderId="66" xfId="11" applyNumberFormat="1" applyBorder="1" applyAlignment="1">
      <alignment horizontal="center" vertical="center" wrapText="1"/>
    </xf>
    <xf numFmtId="10" fontId="89" fillId="0" borderId="61" xfId="10" applyNumberFormat="1" applyFont="1" applyBorder="1" applyAlignment="1">
      <alignment horizontal="center" vertical="center" wrapText="1"/>
    </xf>
    <xf numFmtId="0" fontId="89" fillId="0" borderId="62" xfId="12" applyFont="1" applyBorder="1" applyAlignment="1" applyProtection="1">
      <alignment horizontal="center" vertical="center"/>
      <protection locked="0"/>
    </xf>
    <xf numFmtId="0" fontId="88" fillId="0" borderId="68" xfId="11" applyFont="1" applyBorder="1" applyAlignment="1">
      <alignment horizontal="right" vertical="center" wrapText="1"/>
    </xf>
    <xf numFmtId="0" fontId="88" fillId="0" borderId="6" xfId="11" applyFont="1" applyBorder="1" applyAlignment="1">
      <alignment horizontal="right" vertical="center" wrapText="1"/>
    </xf>
    <xf numFmtId="0" fontId="50" fillId="0" borderId="6" xfId="12" applyFont="1" applyBorder="1" applyAlignment="1">
      <alignment horizontal="left" vertical="center" wrapText="1" indent="1"/>
    </xf>
    <xf numFmtId="0" fontId="88" fillId="0" borderId="69" xfId="11" applyFont="1" applyBorder="1" applyAlignment="1">
      <alignment horizontal="right" vertical="center" wrapText="1"/>
    </xf>
    <xf numFmtId="0" fontId="88" fillId="43" borderId="8" xfId="11" applyFont="1" applyFill="1" applyBorder="1" applyAlignment="1">
      <alignment horizontal="right" vertical="center" wrapText="1"/>
    </xf>
    <xf numFmtId="0" fontId="50" fillId="0" borderId="6" xfId="12" applyFont="1" applyBorder="1" applyAlignment="1">
      <alignment wrapText="1"/>
    </xf>
    <xf numFmtId="10" fontId="50" fillId="0" borderId="6" xfId="10" applyNumberFormat="1" applyFont="1" applyBorder="1" applyAlignment="1">
      <alignment vertical="center" wrapText="1"/>
    </xf>
    <xf numFmtId="0" fontId="20" fillId="0" borderId="6" xfId="11" applyBorder="1"/>
    <xf numFmtId="0" fontId="100" fillId="0" borderId="69" xfId="11" applyFont="1" applyBorder="1" applyAlignment="1">
      <alignment horizontal="left" vertical="center" wrapText="1"/>
    </xf>
    <xf numFmtId="0" fontId="51" fillId="0" borderId="43" xfId="12" applyFont="1" applyBorder="1"/>
    <xf numFmtId="0" fontId="20" fillId="0" borderId="83" xfId="11" applyBorder="1" applyAlignment="1">
      <alignment horizontal="right" vertical="center" wrapText="1" indent="1"/>
    </xf>
    <xf numFmtId="10" fontId="82" fillId="0" borderId="68" xfId="11" applyNumberFormat="1" applyFont="1" applyBorder="1" applyAlignment="1">
      <alignment vertical="center" wrapText="1"/>
    </xf>
    <xf numFmtId="10" fontId="50" fillId="0" borderId="14" xfId="10" applyNumberFormat="1" applyFont="1" applyBorder="1" applyAlignment="1">
      <alignment vertical="center" wrapText="1"/>
    </xf>
    <xf numFmtId="10" fontId="50" fillId="0" borderId="69" xfId="10" applyNumberFormat="1" applyFont="1" applyBorder="1" applyAlignment="1">
      <alignment horizontal="center" vertical="center" wrapText="1"/>
    </xf>
    <xf numFmtId="10" fontId="50" fillId="0" borderId="6" xfId="10" applyNumberFormat="1" applyFont="1" applyBorder="1" applyAlignment="1">
      <alignment horizontal="center" vertical="center" wrapText="1"/>
    </xf>
    <xf numFmtId="0" fontId="1" fillId="0" borderId="8" xfId="12" applyFont="1" applyBorder="1"/>
    <xf numFmtId="0" fontId="1" fillId="0" borderId="9" xfId="12" applyFont="1" applyBorder="1"/>
    <xf numFmtId="0" fontId="1" fillId="0" borderId="10" xfId="12" applyFont="1" applyBorder="1"/>
    <xf numFmtId="0" fontId="1" fillId="0" borderId="11" xfId="12" applyFont="1" applyBorder="1" applyAlignment="1">
      <alignment vertical="center" wrapText="1"/>
    </xf>
    <xf numFmtId="9" fontId="1" fillId="0" borderId="0" xfId="10" applyFont="1" applyBorder="1"/>
    <xf numFmtId="0" fontId="1" fillId="0" borderId="12" xfId="12" applyFont="1" applyBorder="1"/>
    <xf numFmtId="0" fontId="25" fillId="0" borderId="11" xfId="12" applyFont="1" applyBorder="1" applyAlignment="1">
      <alignment vertical="center" wrapText="1"/>
    </xf>
    <xf numFmtId="0" fontId="1" fillId="0" borderId="11" xfId="12" applyFont="1" applyBorder="1" applyAlignment="1">
      <alignment horizontal="center" vertical="center"/>
    </xf>
    <xf numFmtId="0" fontId="86" fillId="0" borderId="11" xfId="0" applyFont="1" applyBorder="1"/>
    <xf numFmtId="0" fontId="86" fillId="43" borderId="11" xfId="0" applyFont="1" applyFill="1" applyBorder="1"/>
    <xf numFmtId="0" fontId="1" fillId="43" borderId="12" xfId="12" applyFont="1" applyFill="1" applyBorder="1"/>
    <xf numFmtId="0" fontId="1" fillId="0" borderId="11" xfId="12" applyFont="1" applyBorder="1"/>
    <xf numFmtId="0" fontId="47" fillId="0" borderId="12" xfId="12" applyFont="1" applyBorder="1" applyAlignment="1">
      <alignment vertical="center"/>
    </xf>
    <xf numFmtId="164" fontId="66" fillId="0" borderId="12" xfId="9" applyNumberFormat="1" applyFont="1" applyBorder="1"/>
    <xf numFmtId="9" fontId="56" fillId="0" borderId="11" xfId="10" applyFont="1" applyBorder="1" applyAlignment="1">
      <alignment horizontal="center" vertical="center" wrapText="1"/>
    </xf>
    <xf numFmtId="164" fontId="56" fillId="0" borderId="0" xfId="9" applyNumberFormat="1" applyFont="1" applyBorder="1" applyAlignment="1">
      <alignment horizontal="center" vertical="center" wrapText="1"/>
    </xf>
    <xf numFmtId="9" fontId="49" fillId="0" borderId="0" xfId="10" applyFont="1" applyBorder="1" applyAlignment="1">
      <alignment horizontal="left" vertical="center" wrapText="1"/>
    </xf>
    <xf numFmtId="0" fontId="50" fillId="0" borderId="12" xfId="12" applyFont="1" applyBorder="1" applyAlignment="1">
      <alignment horizontal="center" vertical="center"/>
    </xf>
    <xf numFmtId="0" fontId="25" fillId="43" borderId="11" xfId="12" applyFont="1" applyFill="1" applyBorder="1" applyAlignment="1">
      <alignment horizontal="center" vertical="center" wrapText="1"/>
    </xf>
    <xf numFmtId="1" fontId="25" fillId="0" borderId="0" xfId="15" applyNumberFormat="1" applyFont="1" applyBorder="1" applyAlignment="1">
      <alignment horizontal="center" vertical="center"/>
    </xf>
    <xf numFmtId="0" fontId="50" fillId="0" borderId="11" xfId="12" applyFont="1" applyBorder="1" applyAlignment="1">
      <alignment horizontal="center" vertical="center" wrapText="1"/>
    </xf>
    <xf numFmtId="43" fontId="50" fillId="0" borderId="0" xfId="9" applyFont="1" applyBorder="1" applyAlignment="1">
      <alignment horizontal="center" vertical="center"/>
    </xf>
    <xf numFmtId="0" fontId="50" fillId="0" borderId="12" xfId="12" applyFont="1" applyBorder="1"/>
    <xf numFmtId="0" fontId="50" fillId="0" borderId="12" xfId="12" applyFont="1" applyBorder="1" applyAlignment="1">
      <alignment horizontal="left" vertical="center"/>
    </xf>
    <xf numFmtId="0" fontId="20" fillId="0" borderId="12" xfId="11" applyBorder="1" applyAlignment="1">
      <alignment wrapText="1"/>
    </xf>
    <xf numFmtId="0" fontId="1" fillId="0" borderId="13" xfId="12" applyFont="1" applyBorder="1"/>
    <xf numFmtId="0" fontId="1" fillId="0" borderId="15" xfId="12" applyFont="1" applyBorder="1"/>
    <xf numFmtId="0" fontId="50" fillId="0" borderId="12" xfId="12" applyFont="1" applyBorder="1" applyAlignment="1">
      <alignment horizontal="center"/>
    </xf>
    <xf numFmtId="43" fontId="50" fillId="0" borderId="0" xfId="9" applyFont="1" applyBorder="1" applyAlignment="1">
      <alignment horizontal="center"/>
    </xf>
    <xf numFmtId="6" fontId="25" fillId="0" borderId="0" xfId="12" applyNumberFormat="1" applyFont="1" applyAlignment="1">
      <alignment horizontal="center" wrapText="1"/>
    </xf>
    <xf numFmtId="0" fontId="25" fillId="0" borderId="11" xfId="12" applyFont="1" applyBorder="1" applyAlignment="1">
      <alignment horizontal="center" wrapText="1"/>
    </xf>
    <xf numFmtId="9" fontId="25" fillId="11" borderId="65" xfId="13" applyFont="1" applyFill="1" applyBorder="1" applyAlignment="1">
      <alignment horizontal="center" vertical="center" wrapText="1"/>
    </xf>
    <xf numFmtId="9" fontId="25" fillId="11" borderId="63" xfId="13" applyFont="1" applyFill="1" applyBorder="1" applyAlignment="1">
      <alignment horizontal="center" vertical="center" wrapText="1"/>
    </xf>
    <xf numFmtId="1" fontId="25" fillId="11" borderId="61" xfId="13" applyNumberFormat="1" applyFont="1" applyFill="1" applyBorder="1" applyAlignment="1">
      <alignment horizontal="center" vertical="center" wrapText="1"/>
    </xf>
    <xf numFmtId="9" fontId="25" fillId="11" borderId="62" xfId="13" applyFont="1" applyFill="1" applyBorder="1" applyAlignment="1">
      <alignment horizontal="center" vertical="center" wrapText="1"/>
    </xf>
    <xf numFmtId="0" fontId="83" fillId="0" borderId="68" xfId="12" applyFont="1" applyBorder="1" applyAlignment="1">
      <alignment horizontal="left" vertical="center" wrapText="1"/>
    </xf>
    <xf numFmtId="0" fontId="82" fillId="3" borderId="60" xfId="12" applyFont="1" applyFill="1" applyBorder="1" applyAlignment="1" applyProtection="1">
      <alignment horizontal="center" vertical="center" wrapText="1"/>
      <protection locked="0"/>
    </xf>
    <xf numFmtId="0" fontId="83" fillId="0" borderId="65" xfId="12" applyFont="1" applyBorder="1" applyAlignment="1">
      <alignment horizontal="right" vertical="center" wrapText="1"/>
    </xf>
    <xf numFmtId="10" fontId="82" fillId="4" borderId="16" xfId="10" applyNumberFormat="1" applyFont="1" applyFill="1" applyBorder="1" applyAlignment="1">
      <alignment horizontal="center" vertical="center" wrapText="1"/>
    </xf>
    <xf numFmtId="177" fontId="82" fillId="4" borderId="13" xfId="10" applyNumberFormat="1" applyFont="1" applyFill="1" applyBorder="1" applyAlignment="1">
      <alignment horizontal="center" vertical="center" wrapText="1"/>
    </xf>
    <xf numFmtId="0" fontId="82" fillId="3" borderId="63" xfId="12" applyFont="1" applyFill="1" applyBorder="1" applyAlignment="1" applyProtection="1">
      <alignment horizontal="center" vertical="center" wrapText="1"/>
      <protection locked="0"/>
    </xf>
    <xf numFmtId="10" fontId="82" fillId="4" borderId="5" xfId="10" applyNumberFormat="1" applyFont="1" applyFill="1" applyBorder="1" applyAlignment="1">
      <alignment horizontal="center" vertical="center" wrapText="1"/>
    </xf>
    <xf numFmtId="0" fontId="101" fillId="25" borderId="0" xfId="12" applyFont="1" applyFill="1"/>
    <xf numFmtId="0" fontId="101" fillId="0" borderId="0" xfId="12" applyFont="1"/>
    <xf numFmtId="0" fontId="25" fillId="0" borderId="11" xfId="12" applyFont="1" applyBorder="1" applyAlignment="1">
      <alignment horizontal="center" vertical="center"/>
    </xf>
    <xf numFmtId="44" fontId="50" fillId="0" borderId="64" xfId="15" applyFont="1" applyFill="1" applyBorder="1" applyAlignment="1" applyProtection="1">
      <alignment horizontal="center" vertical="center"/>
      <protection locked="0"/>
    </xf>
    <xf numFmtId="44" fontId="50" fillId="0" borderId="85" xfId="15" applyFont="1" applyFill="1" applyBorder="1" applyAlignment="1" applyProtection="1">
      <alignment horizontal="center" vertical="center"/>
      <protection locked="0"/>
    </xf>
    <xf numFmtId="44" fontId="50" fillId="0" borderId="7" xfId="15" applyFont="1" applyBorder="1"/>
    <xf numFmtId="44" fontId="89" fillId="0" borderId="7" xfId="15" applyFont="1" applyBorder="1"/>
    <xf numFmtId="0" fontId="83" fillId="0" borderId="7" xfId="12" applyFont="1" applyBorder="1" applyAlignment="1">
      <alignment horizontal="left" vertical="center" wrapText="1"/>
    </xf>
    <xf numFmtId="0" fontId="82" fillId="0" borderId="64" xfId="12" applyFont="1" applyBorder="1" applyAlignment="1" applyProtection="1">
      <alignment horizontal="center" vertical="center"/>
      <protection locked="0"/>
    </xf>
    <xf numFmtId="0" fontId="82" fillId="0" borderId="5" xfId="12" applyFont="1" applyBorder="1" applyAlignment="1" applyProtection="1">
      <alignment horizontal="center" vertical="center"/>
      <protection locked="0"/>
    </xf>
    <xf numFmtId="1" fontId="50" fillId="3" borderId="5" xfId="12" applyNumberFormat="1" applyFont="1" applyFill="1" applyBorder="1" applyAlignment="1" applyProtection="1">
      <alignment horizontal="center" vertical="center"/>
      <protection locked="0"/>
    </xf>
    <xf numFmtId="177" fontId="50" fillId="0" borderId="5" xfId="15" applyNumberFormat="1" applyFont="1" applyBorder="1" applyAlignment="1" applyProtection="1">
      <alignment horizontal="center" vertical="center"/>
      <protection locked="0"/>
    </xf>
    <xf numFmtId="44" fontId="71" fillId="43" borderId="5" xfId="15" applyFont="1" applyFill="1" applyBorder="1" applyAlignment="1" applyProtection="1">
      <alignment horizontal="center" vertical="center"/>
      <protection locked="0"/>
    </xf>
    <xf numFmtId="0" fontId="83" fillId="0" borderId="5" xfId="12" applyFont="1" applyBorder="1" applyAlignment="1">
      <alignment horizontal="left" vertical="center" wrapText="1"/>
    </xf>
    <xf numFmtId="43" fontId="50" fillId="3" borderId="5" xfId="9" applyFont="1" applyFill="1" applyBorder="1" applyAlignment="1" applyProtection="1">
      <alignment horizontal="center" vertical="center" wrapText="1"/>
      <protection locked="0"/>
    </xf>
    <xf numFmtId="0" fontId="25" fillId="25" borderId="5" xfId="12" applyFont="1" applyFill="1" applyBorder="1" applyAlignment="1">
      <alignment horizontal="right" vertical="center" wrapText="1"/>
    </xf>
    <xf numFmtId="43" fontId="50" fillId="3" borderId="5" xfId="9" applyFont="1" applyFill="1" applyBorder="1" applyAlignment="1" applyProtection="1">
      <alignment horizontal="center" vertical="center"/>
      <protection locked="0"/>
    </xf>
    <xf numFmtId="0" fontId="25" fillId="0" borderId="5" xfId="12" applyFont="1" applyBorder="1" applyAlignment="1">
      <alignment horizontal="right" vertical="center"/>
    </xf>
    <xf numFmtId="176" fontId="1" fillId="43" borderId="5" xfId="15" applyNumberFormat="1" applyFont="1" applyFill="1" applyBorder="1"/>
    <xf numFmtId="44" fontId="71" fillId="4" borderId="5" xfId="15" applyFont="1" applyFill="1" applyBorder="1" applyAlignment="1" applyProtection="1">
      <alignment horizontal="center" vertical="center"/>
      <protection locked="0"/>
    </xf>
    <xf numFmtId="0" fontId="20" fillId="0" borderId="7" xfId="11" applyBorder="1" applyAlignment="1">
      <alignment horizontal="left" vertical="center" wrapText="1" indent="1"/>
    </xf>
    <xf numFmtId="0" fontId="26" fillId="43" borderId="16" xfId="12" applyFont="1" applyFill="1" applyBorder="1" applyAlignment="1">
      <alignment horizontal="left" vertical="center" wrapText="1" indent="1"/>
    </xf>
    <xf numFmtId="0" fontId="25" fillId="0" borderId="59" xfId="12" applyFont="1" applyBorder="1" applyAlignment="1">
      <alignment horizontal="left" vertical="center" wrapText="1"/>
    </xf>
    <xf numFmtId="0" fontId="50" fillId="3" borderId="59" xfId="12" applyFont="1" applyFill="1" applyBorder="1" applyAlignment="1" applyProtection="1">
      <alignment horizontal="center" vertical="center"/>
      <protection locked="0"/>
    </xf>
    <xf numFmtId="0" fontId="25" fillId="0" borderId="61" xfId="12" applyFont="1" applyBorder="1" applyAlignment="1">
      <alignment horizontal="left" vertical="center" wrapText="1"/>
    </xf>
    <xf numFmtId="0" fontId="50" fillId="3" borderId="61" xfId="12" applyFont="1" applyFill="1" applyBorder="1" applyAlignment="1" applyProtection="1">
      <alignment horizontal="center" vertical="center"/>
      <protection locked="0"/>
    </xf>
    <xf numFmtId="0" fontId="25" fillId="0" borderId="16" xfId="12" applyFont="1" applyBorder="1" applyAlignment="1">
      <alignment horizontal="left" vertical="center" wrapText="1"/>
    </xf>
    <xf numFmtId="0" fontId="50" fillId="3" borderId="16" xfId="12" applyFont="1" applyFill="1" applyBorder="1" applyAlignment="1" applyProtection="1">
      <alignment horizontal="center" vertical="center"/>
      <protection locked="0"/>
    </xf>
    <xf numFmtId="0" fontId="88" fillId="0" borderId="79" xfId="11" applyFont="1" applyBorder="1" applyAlignment="1">
      <alignment horizontal="right" vertical="center" wrapText="1"/>
    </xf>
    <xf numFmtId="0" fontId="49" fillId="0" borderId="77" xfId="12" applyFont="1" applyBorder="1" applyAlignment="1">
      <alignment horizontal="center" vertical="center"/>
    </xf>
    <xf numFmtId="0" fontId="49" fillId="0" borderId="87" xfId="12" applyFont="1" applyBorder="1" applyAlignment="1">
      <alignment horizontal="center" vertical="center"/>
    </xf>
    <xf numFmtId="166" fontId="49" fillId="0" borderId="87" xfId="12" applyNumberFormat="1" applyFont="1" applyBorder="1" applyAlignment="1">
      <alignment horizontal="center" vertical="center"/>
    </xf>
    <xf numFmtId="0" fontId="49" fillId="0" borderId="94" xfId="12" applyFont="1" applyBorder="1" applyAlignment="1">
      <alignment horizontal="left" vertical="center" wrapText="1" indent="1"/>
    </xf>
    <xf numFmtId="0" fontId="51" fillId="43" borderId="22" xfId="12" applyFont="1" applyFill="1" applyBorder="1" applyAlignment="1">
      <alignment horizontal="center" vertical="center"/>
    </xf>
    <xf numFmtId="0" fontId="25" fillId="43" borderId="22" xfId="12" applyFont="1" applyFill="1" applyBorder="1" applyAlignment="1">
      <alignment horizontal="center" vertical="center" wrapText="1"/>
    </xf>
    <xf numFmtId="0" fontId="25" fillId="43" borderId="22" xfId="12" applyFont="1" applyFill="1" applyBorder="1" applyAlignment="1">
      <alignment horizontal="left" vertical="center" wrapText="1"/>
    </xf>
    <xf numFmtId="0" fontId="25" fillId="43" borderId="22" xfId="12" applyFont="1" applyFill="1" applyBorder="1" applyAlignment="1">
      <alignment horizontal="right" vertical="center" wrapText="1"/>
    </xf>
    <xf numFmtId="0" fontId="50" fillId="43" borderId="22" xfId="12" applyFont="1" applyFill="1" applyBorder="1" applyAlignment="1" applyProtection="1">
      <alignment horizontal="center" vertical="center" wrapText="1"/>
      <protection locked="0"/>
    </xf>
    <xf numFmtId="0" fontId="50" fillId="43" borderId="22" xfId="12" applyFont="1" applyFill="1" applyBorder="1" applyAlignment="1" applyProtection="1">
      <alignment horizontal="center" vertical="center"/>
      <protection locked="0"/>
    </xf>
    <xf numFmtId="44" fontId="71" fillId="43" borderId="22" xfId="15" applyFont="1" applyFill="1" applyBorder="1" applyAlignment="1" applyProtection="1">
      <alignment horizontal="center" vertical="center"/>
      <protection locked="0"/>
    </xf>
    <xf numFmtId="10" fontId="88" fillId="0" borderId="60" xfId="11" applyNumberFormat="1" applyFont="1" applyBorder="1" applyAlignment="1">
      <alignment horizontal="center" vertical="center" wrapText="1"/>
    </xf>
    <xf numFmtId="10" fontId="88" fillId="0" borderId="63" xfId="11" applyNumberFormat="1" applyFont="1" applyBorder="1" applyAlignment="1">
      <alignment horizontal="center" vertical="center" wrapText="1"/>
    </xf>
    <xf numFmtId="10" fontId="20" fillId="0" borderId="63" xfId="11" applyNumberFormat="1" applyBorder="1" applyAlignment="1">
      <alignment horizontal="center" vertical="center" wrapText="1"/>
    </xf>
    <xf numFmtId="44" fontId="71" fillId="43" borderId="61" xfId="15" applyFont="1" applyFill="1" applyBorder="1" applyAlignment="1" applyProtection="1">
      <alignment horizontal="center" vertical="center"/>
      <protection locked="0"/>
    </xf>
    <xf numFmtId="10" fontId="25" fillId="0" borderId="62" xfId="10" applyNumberFormat="1" applyFont="1" applyBorder="1" applyAlignment="1">
      <alignment horizontal="center" vertical="center" wrapText="1"/>
    </xf>
    <xf numFmtId="0" fontId="20" fillId="0" borderId="63" xfId="11" applyBorder="1" applyAlignment="1">
      <alignment horizontal="right" vertical="center" wrapText="1"/>
    </xf>
    <xf numFmtId="10" fontId="25" fillId="0" borderId="63" xfId="10" applyNumberFormat="1" applyFont="1" applyBorder="1" applyAlignment="1">
      <alignment horizontal="center" vertical="center" wrapText="1"/>
    </xf>
    <xf numFmtId="10" fontId="25" fillId="0" borderId="36" xfId="10" applyNumberFormat="1" applyFont="1" applyBorder="1" applyAlignment="1">
      <alignment horizontal="center" vertical="center" wrapText="1"/>
    </xf>
    <xf numFmtId="43" fontId="50" fillId="3" borderId="59" xfId="9" applyFont="1" applyFill="1" applyBorder="1" applyAlignment="1" applyProtection="1">
      <alignment horizontal="center" vertical="center" wrapText="1"/>
      <protection locked="0"/>
    </xf>
    <xf numFmtId="10" fontId="88" fillId="0" borderId="62" xfId="11" applyNumberFormat="1" applyFont="1" applyBorder="1" applyAlignment="1">
      <alignment horizontal="center" vertical="center" wrapText="1"/>
    </xf>
    <xf numFmtId="0" fontId="50" fillId="0" borderId="16" xfId="15" applyNumberFormat="1" applyFont="1" applyBorder="1" applyAlignment="1" applyProtection="1">
      <alignment horizontal="center" vertical="center"/>
      <protection locked="0"/>
    </xf>
    <xf numFmtId="0" fontId="50" fillId="0" borderId="5" xfId="15" applyNumberFormat="1" applyFont="1" applyBorder="1" applyAlignment="1" applyProtection="1">
      <alignment horizontal="center" vertical="center"/>
      <protection locked="0"/>
    </xf>
    <xf numFmtId="0" fontId="50" fillId="0" borderId="61" xfId="15" applyNumberFormat="1" applyFont="1" applyBorder="1" applyAlignment="1" applyProtection="1">
      <alignment horizontal="center" vertical="center"/>
      <protection locked="0"/>
    </xf>
    <xf numFmtId="0" fontId="50" fillId="0" borderId="22" xfId="15" applyNumberFormat="1" applyFont="1" applyBorder="1" applyAlignment="1" applyProtection="1">
      <alignment horizontal="center" vertical="center"/>
      <protection locked="0"/>
    </xf>
    <xf numFmtId="0" fontId="50" fillId="0" borderId="59" xfId="15" applyNumberFormat="1" applyFont="1" applyBorder="1" applyAlignment="1" applyProtection="1">
      <alignment horizontal="center" vertical="center"/>
      <protection locked="0"/>
    </xf>
    <xf numFmtId="44" fontId="50" fillId="0" borderId="7" xfId="15" applyFont="1" applyFill="1" applyBorder="1" applyAlignment="1" applyProtection="1">
      <alignment horizontal="center" vertical="center"/>
      <protection locked="0"/>
    </xf>
    <xf numFmtId="44" fontId="50" fillId="0" borderId="17" xfId="15" applyFont="1" applyFill="1" applyBorder="1" applyAlignment="1" applyProtection="1">
      <alignment horizontal="center" vertical="center"/>
      <protection locked="0"/>
    </xf>
    <xf numFmtId="44" fontId="89" fillId="0" borderId="7" xfId="15" applyFont="1" applyFill="1" applyBorder="1" applyAlignment="1" applyProtection="1">
      <alignment horizontal="center" vertical="center"/>
      <protection locked="0"/>
    </xf>
    <xf numFmtId="44" fontId="89" fillId="0" borderId="7" xfId="15" applyFont="1" applyBorder="1" applyAlignment="1" applyProtection="1">
      <alignment horizontal="left" vertical="center"/>
      <protection locked="0"/>
    </xf>
    <xf numFmtId="44" fontId="50" fillId="0" borderId="7" xfId="15" applyFont="1" applyBorder="1" applyAlignment="1" applyProtection="1">
      <alignment horizontal="left" vertical="center"/>
      <protection locked="0"/>
    </xf>
    <xf numFmtId="44" fontId="89" fillId="0" borderId="17" xfId="15" applyFont="1" applyFill="1" applyBorder="1" applyAlignment="1" applyProtection="1">
      <alignment horizontal="left" vertical="center"/>
      <protection locked="0"/>
    </xf>
    <xf numFmtId="0" fontId="89" fillId="3" borderId="8" xfId="12" applyFont="1" applyFill="1" applyBorder="1" applyAlignment="1" applyProtection="1">
      <alignment horizontal="center" vertical="center" wrapText="1"/>
      <protection locked="0"/>
    </xf>
    <xf numFmtId="0" fontId="93" fillId="0" borderId="8" xfId="12" applyFont="1" applyBorder="1" applyAlignment="1">
      <alignment horizontal="center" vertical="center" wrapText="1"/>
    </xf>
    <xf numFmtId="44" fontId="50" fillId="0" borderId="43" xfId="15" applyFont="1" applyBorder="1" applyAlignment="1" applyProtection="1">
      <alignment horizontal="center" vertical="center"/>
      <protection locked="0"/>
    </xf>
    <xf numFmtId="44" fontId="50" fillId="5" borderId="83" xfId="15" applyFont="1" applyFill="1" applyBorder="1" applyAlignment="1" applyProtection="1">
      <alignment horizontal="center" vertical="center"/>
      <protection locked="0"/>
    </xf>
    <xf numFmtId="0" fontId="25" fillId="0" borderId="74" xfId="12" applyFont="1" applyBorder="1" applyAlignment="1">
      <alignment horizontal="left" vertical="center" wrapText="1"/>
    </xf>
    <xf numFmtId="0" fontId="25" fillId="0" borderId="64" xfId="12" applyFont="1" applyBorder="1" applyAlignment="1">
      <alignment horizontal="right" vertical="center" wrapText="1"/>
    </xf>
    <xf numFmtId="0" fontId="50" fillId="3" borderId="81" xfId="12" applyFont="1" applyFill="1" applyBorder="1" applyAlignment="1" applyProtection="1">
      <alignment horizontal="center" vertical="center"/>
      <protection locked="0"/>
    </xf>
    <xf numFmtId="0" fontId="25" fillId="0" borderId="80" xfId="12" applyFont="1" applyBorder="1" applyAlignment="1">
      <alignment horizontal="left" vertical="center" wrapText="1"/>
    </xf>
    <xf numFmtId="0" fontId="83" fillId="0" borderId="65" xfId="12" applyFont="1" applyBorder="1" applyAlignment="1">
      <alignment horizontal="left" vertical="center" wrapText="1"/>
    </xf>
    <xf numFmtId="0" fontId="83" fillId="0" borderId="85" xfId="12" applyFont="1" applyBorder="1" applyAlignment="1">
      <alignment horizontal="left" vertical="center" wrapText="1"/>
    </xf>
    <xf numFmtId="0" fontId="93" fillId="0" borderId="76" xfId="12" applyFont="1" applyBorder="1" applyAlignment="1">
      <alignment horizontal="left" vertical="center" wrapText="1"/>
    </xf>
    <xf numFmtId="1" fontId="89" fillId="3" borderId="61" xfId="12" applyNumberFormat="1" applyFont="1" applyFill="1" applyBorder="1" applyAlignment="1" applyProtection="1">
      <alignment horizontal="center" vertical="center" wrapText="1"/>
      <protection locked="0"/>
    </xf>
    <xf numFmtId="0" fontId="103" fillId="0" borderId="0" xfId="0" applyFont="1"/>
    <xf numFmtId="9" fontId="50" fillId="3" borderId="6" xfId="12" applyNumberFormat="1" applyFont="1" applyFill="1" applyBorder="1" applyAlignment="1" applyProtection="1">
      <alignment horizontal="center" vertical="center" wrapText="1"/>
      <protection locked="0"/>
    </xf>
    <xf numFmtId="1" fontId="50" fillId="4" borderId="72" xfId="9" applyNumberFormat="1" applyFont="1" applyFill="1" applyBorder="1" applyAlignment="1">
      <alignment horizontal="center" vertical="center"/>
    </xf>
    <xf numFmtId="1" fontId="50" fillId="4" borderId="17" xfId="9" applyNumberFormat="1" applyFont="1" applyFill="1" applyBorder="1" applyAlignment="1">
      <alignment horizontal="center" vertical="center"/>
    </xf>
    <xf numFmtId="1" fontId="82" fillId="4" borderId="71" xfId="9" applyNumberFormat="1" applyFont="1" applyFill="1" applyBorder="1" applyAlignment="1">
      <alignment horizontal="center" vertical="center"/>
    </xf>
    <xf numFmtId="0" fontId="25" fillId="0" borderId="8" xfId="12" applyFont="1" applyBorder="1" applyAlignment="1">
      <alignment horizontal="left" vertical="center" wrapText="1"/>
    </xf>
    <xf numFmtId="9" fontId="83" fillId="11" borderId="63" xfId="13" applyFont="1" applyFill="1" applyBorder="1" applyAlignment="1">
      <alignment horizontal="center" vertical="center" wrapText="1"/>
    </xf>
    <xf numFmtId="0" fontId="82" fillId="3" borderId="36" xfId="12" applyFont="1" applyFill="1" applyBorder="1" applyAlignment="1" applyProtection="1">
      <alignment horizontal="center" vertical="center" wrapText="1"/>
      <protection locked="0"/>
    </xf>
    <xf numFmtId="0" fontId="83" fillId="0" borderId="72" xfId="12" applyFont="1" applyBorder="1" applyAlignment="1">
      <alignment horizontal="right" vertical="center" wrapText="1"/>
    </xf>
    <xf numFmtId="0" fontId="82" fillId="3" borderId="63" xfId="12" applyFont="1" applyFill="1" applyBorder="1" applyAlignment="1" applyProtection="1">
      <alignment horizontal="center" vertical="center"/>
      <protection locked="0"/>
    </xf>
    <xf numFmtId="0" fontId="83" fillId="0" borderId="61" xfId="12" applyFont="1" applyBorder="1" applyAlignment="1">
      <alignment horizontal="center" vertical="center" wrapText="1"/>
    </xf>
    <xf numFmtId="0" fontId="83" fillId="0" borderId="61" xfId="12" applyFont="1" applyBorder="1" applyAlignment="1">
      <alignment horizontal="left" vertical="center" wrapText="1"/>
    </xf>
    <xf numFmtId="0" fontId="83" fillId="0" borderId="59" xfId="12" applyFont="1" applyBorder="1" applyAlignment="1">
      <alignment horizontal="left" vertical="center" wrapText="1"/>
    </xf>
    <xf numFmtId="0" fontId="83" fillId="0" borderId="5" xfId="12" applyFont="1" applyBorder="1" applyAlignment="1">
      <alignment vertical="center" wrapText="1"/>
    </xf>
    <xf numFmtId="9" fontId="83" fillId="0" borderId="61" xfId="13" applyFont="1" applyBorder="1" applyAlignment="1">
      <alignment horizontal="left" vertical="center" wrapText="1"/>
    </xf>
    <xf numFmtId="44" fontId="71" fillId="4" borderId="16" xfId="15" applyFont="1" applyFill="1" applyBorder="1" applyAlignment="1" applyProtection="1">
      <alignment horizontal="center" vertical="center"/>
      <protection locked="0"/>
    </xf>
    <xf numFmtId="44" fontId="71" fillId="4" borderId="61" xfId="15" applyFont="1" applyFill="1" applyBorder="1" applyAlignment="1" applyProtection="1">
      <alignment horizontal="center" vertical="center"/>
      <protection locked="0"/>
    </xf>
    <xf numFmtId="0" fontId="49" fillId="4" borderId="16" xfId="12" applyFont="1" applyFill="1" applyBorder="1" applyAlignment="1">
      <alignment horizontal="left" vertical="center" wrapText="1" indent="1"/>
    </xf>
    <xf numFmtId="44" fontId="71" fillId="4" borderId="22" xfId="15" applyFont="1" applyFill="1" applyBorder="1" applyAlignment="1" applyProtection="1">
      <alignment horizontal="center" vertical="center"/>
      <protection locked="0"/>
    </xf>
    <xf numFmtId="44" fontId="71" fillId="4" borderId="59" xfId="15" applyFont="1" applyFill="1" applyBorder="1" applyAlignment="1" applyProtection="1">
      <alignment horizontal="center" vertical="center"/>
      <protection locked="0"/>
    </xf>
    <xf numFmtId="0" fontId="33" fillId="4" borderId="22" xfId="0" applyFont="1" applyFill="1" applyBorder="1" applyAlignment="1">
      <alignment horizontal="center" vertical="center" wrapText="1"/>
    </xf>
    <xf numFmtId="9" fontId="33" fillId="4" borderId="22" xfId="10" applyFont="1" applyFill="1" applyBorder="1" applyAlignment="1">
      <alignment horizontal="left" vertical="center" wrapText="1" indent="1"/>
    </xf>
    <xf numFmtId="9" fontId="33" fillId="4" borderId="8" xfId="10" applyFont="1" applyFill="1" applyBorder="1" applyAlignment="1">
      <alignment horizontal="left" vertical="center" wrapText="1" indent="1"/>
    </xf>
    <xf numFmtId="9" fontId="33" fillId="33" borderId="77" xfId="0" applyNumberFormat="1" applyFont="1" applyFill="1" applyBorder="1" applyAlignment="1">
      <alignment horizontal="center" vertical="center" wrapText="1"/>
    </xf>
    <xf numFmtId="9" fontId="33" fillId="33" borderId="58" xfId="0" applyNumberFormat="1" applyFont="1" applyFill="1" applyBorder="1" applyAlignment="1">
      <alignment horizontal="center" vertical="center" wrapText="1"/>
    </xf>
    <xf numFmtId="9" fontId="33" fillId="22" borderId="64" xfId="10" applyFont="1" applyFill="1" applyBorder="1" applyAlignment="1">
      <alignment horizontal="left" vertical="center" wrapText="1" indent="1"/>
    </xf>
    <xf numFmtId="9" fontId="33" fillId="22" borderId="78" xfId="10" applyFont="1" applyFill="1" applyBorder="1" applyAlignment="1">
      <alignment horizontal="left" vertical="center" wrapText="1" indent="1"/>
    </xf>
    <xf numFmtId="9" fontId="33" fillId="22" borderId="22" xfId="10" applyFont="1" applyFill="1" applyBorder="1" applyAlignment="1">
      <alignment horizontal="left" vertical="center" wrapText="1" indent="1"/>
    </xf>
    <xf numFmtId="9" fontId="33" fillId="22" borderId="8" xfId="10" applyFont="1" applyFill="1" applyBorder="1" applyAlignment="1">
      <alignment horizontal="left" vertical="center" wrapText="1" indent="1"/>
    </xf>
    <xf numFmtId="9" fontId="0" fillId="34" borderId="10" xfId="0" applyNumberFormat="1" applyFill="1" applyBorder="1" applyAlignment="1">
      <alignment horizontal="center" vertical="center" wrapText="1"/>
    </xf>
    <xf numFmtId="0" fontId="0" fillId="12" borderId="22" xfId="0" applyFill="1" applyBorder="1" applyAlignment="1">
      <alignment horizontal="center" vertical="center" wrapText="1"/>
    </xf>
    <xf numFmtId="9" fontId="0" fillId="12" borderId="8" xfId="10" applyFont="1" applyFill="1" applyBorder="1" applyAlignment="1">
      <alignment horizontal="left" vertical="center" wrapText="1" indent="1"/>
    </xf>
    <xf numFmtId="9" fontId="0" fillId="35" borderId="39" xfId="0" applyNumberFormat="1" applyFill="1" applyBorder="1" applyAlignment="1">
      <alignment horizontal="center" vertical="center" wrapText="1"/>
    </xf>
    <xf numFmtId="0" fontId="0" fillId="3" borderId="40" xfId="0" applyFill="1" applyBorder="1" applyAlignment="1">
      <alignment horizontal="center" vertical="center" wrapText="1"/>
    </xf>
    <xf numFmtId="9" fontId="33" fillId="3" borderId="61" xfId="10" applyFont="1" applyFill="1" applyBorder="1" applyAlignment="1">
      <alignment horizontal="left" vertical="center" wrapText="1" indent="1"/>
    </xf>
    <xf numFmtId="9" fontId="0" fillId="3" borderId="40" xfId="10" applyFont="1" applyFill="1" applyBorder="1" applyAlignment="1">
      <alignment horizontal="left" vertical="center" wrapText="1" indent="1"/>
    </xf>
    <xf numFmtId="9" fontId="0" fillId="3" borderId="93" xfId="10" applyFont="1" applyFill="1" applyBorder="1" applyAlignment="1">
      <alignment horizontal="left" vertical="center" wrapText="1" indent="1"/>
    </xf>
    <xf numFmtId="9" fontId="0" fillId="35" borderId="77" xfId="0" applyNumberFormat="1" applyFill="1" applyBorder="1" applyAlignment="1">
      <alignment horizontal="center" vertical="center" wrapText="1"/>
    </xf>
    <xf numFmtId="0" fontId="0" fillId="3" borderId="87" xfId="0" applyFill="1" applyBorder="1" applyAlignment="1">
      <alignment horizontal="center" vertical="center" wrapText="1"/>
    </xf>
    <xf numFmtId="9" fontId="33" fillId="3" borderId="87" xfId="10" applyFont="1" applyFill="1" applyBorder="1" applyAlignment="1">
      <alignment horizontal="left" vertical="center" wrapText="1" indent="1"/>
    </xf>
    <xf numFmtId="9" fontId="33" fillId="3" borderId="90" xfId="10" applyFont="1" applyFill="1" applyBorder="1" applyAlignment="1">
      <alignment horizontal="left" vertical="center" wrapText="1" indent="1"/>
    </xf>
    <xf numFmtId="43" fontId="0" fillId="23" borderId="0" xfId="9" applyFont="1" applyFill="1" applyAlignment="1">
      <alignment horizontal="left" indent="1"/>
    </xf>
    <xf numFmtId="9" fontId="0" fillId="23" borderId="0" xfId="0" applyNumberFormat="1" applyFill="1" applyAlignment="1">
      <alignment horizontal="left" indent="1"/>
    </xf>
    <xf numFmtId="177" fontId="33" fillId="23" borderId="0" xfId="10" applyNumberFormat="1" applyFont="1" applyFill="1" applyBorder="1" applyAlignment="1">
      <alignment horizontal="center" vertical="center" wrapText="1"/>
    </xf>
    <xf numFmtId="177" fontId="33" fillId="23" borderId="0" xfId="15" applyNumberFormat="1" applyFont="1" applyFill="1" applyBorder="1" applyAlignment="1">
      <alignment vertical="center" wrapText="1"/>
    </xf>
    <xf numFmtId="177" fontId="33" fillId="23" borderId="0" xfId="15" applyNumberFormat="1" applyFont="1" applyFill="1" applyBorder="1" applyAlignment="1">
      <alignment horizontal="center" vertical="center" wrapText="1"/>
    </xf>
    <xf numFmtId="177" fontId="0" fillId="23" borderId="0" xfId="15" applyNumberFormat="1" applyFont="1" applyFill="1" applyBorder="1" applyAlignment="1">
      <alignment vertical="center" wrapText="1"/>
    </xf>
    <xf numFmtId="177" fontId="1" fillId="23" borderId="0" xfId="15" applyNumberFormat="1" applyFont="1" applyFill="1" applyBorder="1"/>
    <xf numFmtId="0" fontId="0" fillId="23" borderId="0" xfId="0" applyFill="1" applyAlignment="1">
      <alignment horizontal="left" indent="1"/>
    </xf>
    <xf numFmtId="43" fontId="0" fillId="23" borderId="0" xfId="9" applyFont="1" applyFill="1" applyBorder="1" applyAlignment="1">
      <alignment horizontal="left" indent="1"/>
    </xf>
    <xf numFmtId="0" fontId="17" fillId="23" borderId="0" xfId="0" applyFont="1" applyFill="1" applyAlignment="1">
      <alignment horizontal="center" vertical="center" wrapText="1"/>
    </xf>
    <xf numFmtId="177" fontId="50" fillId="7" borderId="67" xfId="15" applyNumberFormat="1" applyFont="1" applyFill="1" applyBorder="1" applyAlignment="1" applyProtection="1">
      <alignment horizontal="center" vertical="center"/>
      <protection locked="0"/>
    </xf>
    <xf numFmtId="177" fontId="50" fillId="7" borderId="65" xfId="15" applyNumberFormat="1" applyFont="1" applyFill="1" applyBorder="1" applyAlignment="1" applyProtection="1">
      <alignment horizontal="center" vertical="center"/>
      <protection locked="0"/>
    </xf>
    <xf numFmtId="177" fontId="33" fillId="22" borderId="88" xfId="10" applyNumberFormat="1" applyFont="1" applyFill="1" applyBorder="1" applyAlignment="1">
      <alignment horizontal="center" vertical="center" wrapText="1"/>
    </xf>
    <xf numFmtId="177" fontId="33" fillId="12" borderId="88" xfId="15" applyNumberFormat="1" applyFont="1" applyFill="1" applyBorder="1" applyAlignment="1">
      <alignment vertical="center" wrapText="1"/>
    </xf>
    <xf numFmtId="177" fontId="33" fillId="4" borderId="88" xfId="15" applyNumberFormat="1" applyFont="1" applyFill="1" applyBorder="1" applyAlignment="1">
      <alignment horizontal="center" vertical="center" wrapText="1"/>
    </xf>
    <xf numFmtId="177" fontId="0" fillId="3" borderId="88" xfId="15" applyNumberFormat="1" applyFont="1" applyFill="1" applyBorder="1" applyAlignment="1">
      <alignment vertical="center" wrapText="1"/>
    </xf>
    <xf numFmtId="177" fontId="1" fillId="43" borderId="91" xfId="15" applyNumberFormat="1" applyFont="1" applyFill="1" applyBorder="1"/>
    <xf numFmtId="0" fontId="106" fillId="0" borderId="42" xfId="0" applyFont="1" applyBorder="1" applyAlignment="1">
      <alignment horizontal="left" vertical="center" wrapText="1"/>
    </xf>
    <xf numFmtId="0" fontId="106" fillId="0" borderId="43" xfId="0" applyFont="1" applyBorder="1" applyAlignment="1">
      <alignment vertical="center" wrapText="1"/>
    </xf>
    <xf numFmtId="0" fontId="106" fillId="0" borderId="44" xfId="0" applyFont="1" applyBorder="1" applyAlignment="1">
      <alignment vertical="center" wrapText="1"/>
    </xf>
    <xf numFmtId="0" fontId="106" fillId="0" borderId="45" xfId="0" applyFont="1" applyBorder="1" applyAlignment="1">
      <alignment horizontal="left" vertical="center" wrapText="1"/>
    </xf>
    <xf numFmtId="0" fontId="107" fillId="0" borderId="0" xfId="0" applyFont="1" applyAlignment="1">
      <alignment horizontal="left" vertical="center" wrapText="1"/>
    </xf>
    <xf numFmtId="0" fontId="107" fillId="0" borderId="46" xfId="0" applyFont="1" applyBorder="1" applyAlignment="1">
      <alignment horizontal="left" vertical="center" wrapText="1"/>
    </xf>
    <xf numFmtId="0" fontId="106" fillId="0" borderId="20" xfId="0" applyFont="1" applyBorder="1" applyAlignment="1">
      <alignment horizontal="left" vertical="center" wrapText="1"/>
    </xf>
    <xf numFmtId="0" fontId="0" fillId="23" borderId="0" xfId="0" applyFill="1" applyAlignment="1">
      <alignment wrapText="1"/>
    </xf>
    <xf numFmtId="9" fontId="0" fillId="23" borderId="0" xfId="10" applyFont="1" applyFill="1"/>
    <xf numFmtId="0" fontId="0" fillId="23" borderId="45" xfId="0" applyFill="1" applyBorder="1" applyAlignment="1">
      <alignment horizontal="center" vertical="center"/>
    </xf>
    <xf numFmtId="0" fontId="0" fillId="23" borderId="34" xfId="0" applyFill="1" applyBorder="1" applyAlignment="1">
      <alignment horizontal="center"/>
    </xf>
    <xf numFmtId="0" fontId="0" fillId="23" borderId="0" xfId="0" applyFill="1" applyAlignment="1">
      <alignment horizontal="center"/>
    </xf>
    <xf numFmtId="0" fontId="0" fillId="23" borderId="27" xfId="0" applyFill="1" applyBorder="1" applyAlignment="1">
      <alignment horizontal="center" wrapText="1"/>
    </xf>
    <xf numFmtId="0" fontId="0" fillId="23" borderId="43" xfId="0" applyFill="1" applyBorder="1" applyAlignment="1">
      <alignment horizontal="center" wrapText="1"/>
    </xf>
    <xf numFmtId="0" fontId="0" fillId="23" borderId="44" xfId="0" applyFill="1" applyBorder="1" applyAlignment="1">
      <alignment horizontal="center" wrapText="1"/>
    </xf>
    <xf numFmtId="0" fontId="0" fillId="23" borderId="0" xfId="0" applyFill="1" applyAlignment="1">
      <alignment horizontal="left" wrapText="1" indent="1"/>
    </xf>
    <xf numFmtId="9" fontId="0" fillId="23" borderId="0" xfId="0" applyNumberFormat="1" applyFill="1"/>
    <xf numFmtId="9" fontId="19" fillId="23" borderId="0" xfId="0" applyNumberFormat="1" applyFont="1" applyFill="1" applyAlignment="1">
      <alignment horizontal="left" indent="1"/>
    </xf>
    <xf numFmtId="1" fontId="0" fillId="23" borderId="18" xfId="0" applyNumberFormat="1" applyFill="1" applyBorder="1" applyAlignment="1">
      <alignment horizontal="center"/>
    </xf>
    <xf numFmtId="1" fontId="0" fillId="23" borderId="19" xfId="0" applyNumberFormat="1" applyFill="1" applyBorder="1" applyAlignment="1">
      <alignment horizontal="center"/>
    </xf>
    <xf numFmtId="177" fontId="33" fillId="4" borderId="88" xfId="10" applyNumberFormat="1" applyFont="1" applyFill="1" applyBorder="1" applyAlignment="1">
      <alignment horizontal="center" vertical="center" wrapText="1"/>
    </xf>
    <xf numFmtId="177" fontId="1" fillId="43" borderId="47" xfId="15" applyNumberFormat="1" applyFont="1" applyFill="1" applyBorder="1"/>
    <xf numFmtId="9" fontId="0" fillId="4" borderId="69" xfId="10" applyFont="1" applyFill="1" applyBorder="1" applyAlignment="1">
      <alignment horizontal="left" vertical="center" wrapText="1" indent="1"/>
    </xf>
    <xf numFmtId="9" fontId="33" fillId="3" borderId="68" xfId="10" applyFont="1" applyFill="1" applyBorder="1" applyAlignment="1">
      <alignment horizontal="left" vertical="center" wrapText="1" indent="1"/>
    </xf>
    <xf numFmtId="9" fontId="33" fillId="3" borderId="6" xfId="10" applyFont="1" applyFill="1" applyBorder="1" applyAlignment="1">
      <alignment horizontal="left" vertical="center" wrapText="1" indent="1"/>
    </xf>
    <xf numFmtId="9" fontId="33" fillId="3" borderId="69" xfId="10" applyFont="1" applyFill="1" applyBorder="1" applyAlignment="1">
      <alignment horizontal="left" vertical="center" wrapText="1" indent="1"/>
    </xf>
    <xf numFmtId="9" fontId="33" fillId="4" borderId="74" xfId="10" applyFont="1" applyFill="1" applyBorder="1" applyAlignment="1">
      <alignment horizontal="center" vertical="center" wrapText="1"/>
    </xf>
    <xf numFmtId="9" fontId="33" fillId="4" borderId="80" xfId="10" applyFont="1" applyFill="1" applyBorder="1" applyAlignment="1">
      <alignment horizontal="center" vertical="center" wrapText="1"/>
    </xf>
    <xf numFmtId="9" fontId="33" fillId="22" borderId="86" xfId="10" applyFont="1" applyFill="1" applyBorder="1" applyAlignment="1">
      <alignment horizontal="center" vertical="center" wrapText="1"/>
    </xf>
    <xf numFmtId="166" fontId="33" fillId="22" borderId="18" xfId="10" applyNumberFormat="1" applyFont="1" applyFill="1" applyBorder="1" applyAlignment="1">
      <alignment horizontal="center" vertical="center" wrapText="1"/>
    </xf>
    <xf numFmtId="166" fontId="0" fillId="12" borderId="74" xfId="10" applyNumberFormat="1" applyFont="1" applyFill="1" applyBorder="1" applyAlignment="1">
      <alignment horizontal="center" vertical="center" wrapText="1"/>
    </xf>
    <xf numFmtId="166" fontId="0" fillId="12" borderId="75" xfId="10" applyNumberFormat="1" applyFont="1" applyFill="1" applyBorder="1" applyAlignment="1">
      <alignment horizontal="center" vertical="center" wrapText="1"/>
    </xf>
    <xf numFmtId="166" fontId="0" fillId="12" borderId="80" xfId="10" applyNumberFormat="1" applyFont="1" applyFill="1" applyBorder="1" applyAlignment="1">
      <alignment horizontal="center" vertical="center" wrapText="1"/>
    </xf>
    <xf numFmtId="9" fontId="33" fillId="12" borderId="86" xfId="10" applyFont="1" applyFill="1" applyBorder="1" applyAlignment="1">
      <alignment horizontal="center" vertical="center" wrapText="1"/>
    </xf>
    <xf numFmtId="10" fontId="0" fillId="12" borderId="74" xfId="10" applyNumberFormat="1" applyFont="1" applyFill="1" applyBorder="1" applyAlignment="1">
      <alignment horizontal="center" vertical="center" wrapText="1"/>
    </xf>
    <xf numFmtId="10" fontId="0" fillId="12" borderId="34" xfId="10" applyNumberFormat="1" applyFont="1" applyFill="1" applyBorder="1" applyAlignment="1">
      <alignment horizontal="center" vertical="center" wrapText="1"/>
    </xf>
    <xf numFmtId="10" fontId="0" fillId="12" borderId="80" xfId="10" applyNumberFormat="1" applyFont="1" applyFill="1" applyBorder="1" applyAlignment="1">
      <alignment horizontal="center" vertical="center" wrapText="1"/>
    </xf>
    <xf numFmtId="10" fontId="0" fillId="3" borderId="86" xfId="10" applyNumberFormat="1" applyFont="1" applyFill="1" applyBorder="1" applyAlignment="1">
      <alignment horizontal="center" vertical="center" wrapText="1"/>
    </xf>
    <xf numFmtId="166" fontId="0" fillId="3" borderId="18" xfId="10" applyNumberFormat="1" applyFont="1" applyFill="1" applyBorder="1" applyAlignment="1">
      <alignment horizontal="center" vertical="center" wrapText="1"/>
    </xf>
    <xf numFmtId="0" fontId="1" fillId="23" borderId="0" xfId="12" applyFont="1" applyFill="1" applyAlignment="1">
      <alignment wrapText="1"/>
    </xf>
    <xf numFmtId="0" fontId="49" fillId="0" borderId="44" xfId="12" applyFont="1" applyBorder="1" applyAlignment="1">
      <alignment horizontal="center" vertical="center" wrapText="1"/>
    </xf>
    <xf numFmtId="1" fontId="83" fillId="11" borderId="5" xfId="13" applyNumberFormat="1" applyFont="1" applyFill="1" applyBorder="1" applyAlignment="1">
      <alignment horizontal="center" vertical="center" wrapText="1"/>
    </xf>
    <xf numFmtId="9" fontId="25" fillId="11" borderId="67" xfId="13" applyFont="1" applyFill="1" applyBorder="1" applyAlignment="1">
      <alignment horizontal="center" vertical="center" wrapText="1"/>
    </xf>
    <xf numFmtId="9" fontId="83" fillId="11" borderId="65" xfId="13" applyFont="1" applyFill="1" applyBorder="1" applyAlignment="1">
      <alignment horizontal="center" vertical="center" wrapText="1"/>
    </xf>
    <xf numFmtId="9" fontId="25" fillId="11" borderId="66" xfId="13" applyFont="1" applyFill="1" applyBorder="1" applyAlignment="1">
      <alignment horizontal="center" vertical="center" wrapText="1"/>
    </xf>
    <xf numFmtId="0" fontId="25" fillId="25" borderId="74" xfId="12" applyFont="1" applyFill="1" applyBorder="1" applyAlignment="1">
      <alignment horizontal="left" vertical="center" wrapText="1" indent="1"/>
    </xf>
    <xf numFmtId="0" fontId="25" fillId="25" borderId="75" xfId="12" applyFont="1" applyFill="1" applyBorder="1" applyAlignment="1">
      <alignment horizontal="left" vertical="center" wrapText="1" indent="1"/>
    </xf>
    <xf numFmtId="0" fontId="25" fillId="25" borderId="80" xfId="12" applyFont="1" applyFill="1" applyBorder="1" applyAlignment="1">
      <alignment horizontal="left" vertical="center" wrapText="1" indent="1"/>
    </xf>
    <xf numFmtId="10" fontId="20" fillId="0" borderId="6" xfId="11" applyNumberFormat="1" applyBorder="1" applyAlignment="1">
      <alignment horizontal="center" vertical="center" wrapText="1"/>
    </xf>
    <xf numFmtId="167" fontId="17" fillId="0" borderId="0" xfId="0" applyNumberFormat="1" applyFont="1"/>
    <xf numFmtId="9" fontId="25" fillId="11" borderId="35" xfId="13" applyFont="1" applyFill="1" applyBorder="1" applyAlignment="1">
      <alignment horizontal="center" vertical="center" wrapText="1"/>
    </xf>
    <xf numFmtId="9" fontId="25" fillId="11" borderId="36" xfId="13" applyFont="1" applyFill="1" applyBorder="1" applyAlignment="1">
      <alignment horizontal="center" vertical="center" wrapText="1"/>
    </xf>
    <xf numFmtId="1" fontId="25" fillId="11" borderId="59" xfId="13" applyNumberFormat="1" applyFont="1" applyFill="1" applyBorder="1" applyAlignment="1">
      <alignment horizontal="center" vertical="center" wrapText="1"/>
    </xf>
    <xf numFmtId="9" fontId="25" fillId="11" borderId="60" xfId="13" applyFont="1" applyFill="1" applyBorder="1" applyAlignment="1">
      <alignment horizontal="center" vertical="center" wrapText="1"/>
    </xf>
    <xf numFmtId="0" fontId="109" fillId="0" borderId="0" xfId="12" applyFont="1" applyAlignment="1">
      <alignment horizontal="center" vertical="center"/>
    </xf>
    <xf numFmtId="179" fontId="0" fillId="0" borderId="0" xfId="0" applyNumberFormat="1"/>
    <xf numFmtId="1" fontId="0" fillId="0" borderId="0" xfId="0" applyNumberFormat="1" applyAlignment="1">
      <alignment horizontal="left" wrapText="1" indent="1"/>
    </xf>
    <xf numFmtId="1" fontId="0" fillId="0" borderId="0" xfId="0" applyNumberFormat="1" applyAlignment="1">
      <alignment horizontal="center"/>
    </xf>
    <xf numFmtId="6" fontId="50" fillId="0" borderId="0" xfId="12" applyNumberFormat="1" applyFont="1"/>
    <xf numFmtId="0" fontId="71" fillId="0" borderId="0" xfId="12" applyFont="1"/>
    <xf numFmtId="6" fontId="110" fillId="0" borderId="0" xfId="12" applyNumberFormat="1" applyFont="1"/>
    <xf numFmtId="0" fontId="110" fillId="0" borderId="0" xfId="12" applyFont="1"/>
    <xf numFmtId="6" fontId="111" fillId="0" borderId="0" xfId="12" applyNumberFormat="1" applyFont="1"/>
    <xf numFmtId="166" fontId="0" fillId="0" borderId="0" xfId="0" applyNumberFormat="1"/>
    <xf numFmtId="166" fontId="0" fillId="0" borderId="0" xfId="0" applyNumberFormat="1" applyAlignment="1">
      <alignment wrapText="1"/>
    </xf>
    <xf numFmtId="0" fontId="17" fillId="5" borderId="0" xfId="0" applyFont="1" applyFill="1" applyAlignment="1">
      <alignment wrapText="1"/>
    </xf>
    <xf numFmtId="171" fontId="0" fillId="5" borderId="0" xfId="0" applyNumberFormat="1" applyFill="1"/>
    <xf numFmtId="177" fontId="50" fillId="0" borderId="16" xfId="15" applyNumberFormat="1" applyFont="1" applyBorder="1" applyAlignment="1" applyProtection="1">
      <alignment horizontal="center" vertical="center"/>
      <protection locked="0"/>
    </xf>
    <xf numFmtId="2" fontId="0" fillId="0" borderId="0" xfId="10" applyNumberFormat="1" applyFont="1"/>
    <xf numFmtId="0" fontId="49" fillId="0" borderId="77" xfId="12" applyFont="1" applyBorder="1" applyAlignment="1">
      <alignment horizontal="center" vertical="center" wrapText="1"/>
    </xf>
    <xf numFmtId="0" fontId="49" fillId="0" borderId="94" xfId="12" applyFont="1" applyBorder="1" applyAlignment="1">
      <alignment horizontal="center" vertical="center" wrapText="1"/>
    </xf>
    <xf numFmtId="44" fontId="71" fillId="0" borderId="17" xfId="15" applyFont="1" applyBorder="1" applyAlignment="1" applyProtection="1">
      <alignment horizontal="center" vertical="center"/>
      <protection locked="0"/>
    </xf>
    <xf numFmtId="0" fontId="112" fillId="0" borderId="5" xfId="0" applyFont="1" applyBorder="1" applyAlignment="1">
      <alignment horizontal="center" wrapText="1"/>
    </xf>
    <xf numFmtId="2" fontId="17" fillId="22" borderId="0" xfId="0" applyNumberFormat="1" applyFont="1" applyFill="1"/>
    <xf numFmtId="9" fontId="33" fillId="22" borderId="42" xfId="10" applyFont="1" applyFill="1" applyBorder="1" applyAlignment="1">
      <alignment horizontal="center" vertical="center" wrapText="1"/>
    </xf>
    <xf numFmtId="177" fontId="33" fillId="22" borderId="86" xfId="10" applyNumberFormat="1" applyFont="1" applyFill="1" applyBorder="1" applyAlignment="1">
      <alignment horizontal="center" vertical="center" wrapText="1"/>
    </xf>
    <xf numFmtId="0" fontId="113" fillId="10" borderId="0" xfId="12" applyFont="1" applyFill="1" applyAlignment="1">
      <alignment horizontal="left" vertical="center"/>
    </xf>
    <xf numFmtId="0" fontId="33" fillId="0" borderId="0" xfId="0" applyFont="1"/>
    <xf numFmtId="167" fontId="33" fillId="0" borderId="0" xfId="0" applyNumberFormat="1" applyFont="1"/>
    <xf numFmtId="1" fontId="50" fillId="3" borderId="59" xfId="12" applyNumberFormat="1" applyFont="1" applyFill="1" applyBorder="1" applyAlignment="1" applyProtection="1">
      <alignment horizontal="center" vertical="center" wrapText="1"/>
      <protection locked="0"/>
    </xf>
    <xf numFmtId="1" fontId="50" fillId="3" borderId="5" xfId="12" applyNumberFormat="1" applyFont="1" applyFill="1" applyBorder="1" applyAlignment="1" applyProtection="1">
      <alignment horizontal="center" vertical="center" wrapText="1"/>
      <protection locked="0"/>
    </xf>
    <xf numFmtId="0" fontId="22" fillId="0" borderId="0" xfId="0" applyFont="1" applyAlignment="1">
      <alignment wrapText="1"/>
    </xf>
    <xf numFmtId="0" fontId="114" fillId="0" borderId="5" xfId="12" applyFont="1" applyBorder="1" applyAlignment="1">
      <alignment horizontal="right" vertical="center" wrapText="1"/>
    </xf>
    <xf numFmtId="0" fontId="48" fillId="23" borderId="43" xfId="0" applyFont="1" applyFill="1" applyBorder="1" applyAlignment="1">
      <alignment horizontal="center" wrapText="1"/>
    </xf>
    <xf numFmtId="0" fontId="112" fillId="0" borderId="0" xfId="0" applyFont="1" applyAlignment="1">
      <alignment wrapText="1"/>
    </xf>
    <xf numFmtId="0" fontId="115" fillId="0" borderId="0" xfId="0" applyFont="1" applyAlignment="1">
      <alignment wrapText="1"/>
    </xf>
    <xf numFmtId="1" fontId="83" fillId="11" borderId="22" xfId="13" applyNumberFormat="1" applyFont="1" applyFill="1" applyBorder="1" applyAlignment="1">
      <alignment horizontal="center" vertical="center" wrapText="1"/>
    </xf>
    <xf numFmtId="1" fontId="25" fillId="11" borderId="59" xfId="12" applyNumberFormat="1" applyFont="1" applyFill="1" applyBorder="1" applyAlignment="1">
      <alignment horizontal="center" vertical="center" wrapText="1"/>
    </xf>
    <xf numFmtId="9" fontId="25" fillId="11" borderId="60" xfId="10" applyFont="1" applyFill="1" applyBorder="1" applyAlignment="1">
      <alignment horizontal="center" vertical="center" wrapText="1"/>
    </xf>
    <xf numFmtId="1" fontId="25" fillId="11" borderId="5" xfId="12" applyNumberFormat="1" applyFont="1" applyFill="1" applyBorder="1" applyAlignment="1">
      <alignment horizontal="center" vertical="center" wrapText="1"/>
    </xf>
    <xf numFmtId="0" fontId="0" fillId="42" borderId="0" xfId="0" applyFill="1" applyAlignment="1">
      <alignment wrapText="1"/>
    </xf>
    <xf numFmtId="3" fontId="0" fillId="42" borderId="0" xfId="0" applyNumberFormat="1" applyFill="1" applyAlignment="1">
      <alignment wrapText="1"/>
    </xf>
    <xf numFmtId="164" fontId="25" fillId="11" borderId="16" xfId="9" applyNumberFormat="1" applyFont="1" applyFill="1" applyBorder="1" applyAlignment="1">
      <alignment horizontal="center" vertical="center" wrapText="1"/>
    </xf>
    <xf numFmtId="43" fontId="9" fillId="23" borderId="0" xfId="12" applyNumberFormat="1" applyFont="1" applyFill="1"/>
    <xf numFmtId="10" fontId="82" fillId="4" borderId="22" xfId="10" applyNumberFormat="1" applyFont="1" applyFill="1" applyBorder="1" applyAlignment="1">
      <alignment horizontal="center" vertical="center" wrapText="1"/>
    </xf>
    <xf numFmtId="177" fontId="50" fillId="4" borderId="60" xfId="10" applyNumberFormat="1" applyFont="1" applyFill="1" applyBorder="1" applyAlignment="1">
      <alignment horizontal="center" vertical="center" wrapText="1"/>
    </xf>
    <xf numFmtId="177" fontId="50" fillId="4" borderId="63" xfId="10" applyNumberFormat="1" applyFont="1" applyFill="1" applyBorder="1" applyAlignment="1">
      <alignment horizontal="center" vertical="center" wrapText="1"/>
    </xf>
    <xf numFmtId="10" fontId="50" fillId="4" borderId="87" xfId="10" applyNumberFormat="1" applyFont="1" applyFill="1" applyBorder="1" applyAlignment="1">
      <alignment horizontal="center" vertical="center" wrapText="1"/>
    </xf>
    <xf numFmtId="177" fontId="50" fillId="4" borderId="62" xfId="10" applyNumberFormat="1" applyFont="1" applyFill="1" applyBorder="1" applyAlignment="1">
      <alignment horizontal="center" vertical="center" wrapText="1"/>
    </xf>
    <xf numFmtId="0" fontId="51" fillId="0" borderId="66" xfId="12" applyFont="1" applyBorder="1" applyAlignment="1">
      <alignment vertical="center"/>
    </xf>
    <xf numFmtId="0" fontId="25" fillId="0" borderId="19" xfId="12" applyFont="1" applyBorder="1" applyAlignment="1">
      <alignment horizontal="left" vertical="center" wrapText="1"/>
    </xf>
    <xf numFmtId="9" fontId="50" fillId="3" borderId="69" xfId="10" applyFont="1" applyFill="1" applyBorder="1" applyAlignment="1" applyProtection="1">
      <alignment horizontal="center" vertical="center"/>
      <protection locked="0"/>
    </xf>
    <xf numFmtId="0" fontId="25" fillId="0" borderId="66" xfId="12" applyFont="1" applyBorder="1" applyAlignment="1">
      <alignment horizontal="right" vertical="center"/>
    </xf>
    <xf numFmtId="1" fontId="50" fillId="4" borderId="71" xfId="9" applyNumberFormat="1" applyFont="1" applyFill="1" applyBorder="1" applyAlignment="1">
      <alignment horizontal="center" vertical="center"/>
    </xf>
    <xf numFmtId="0" fontId="25" fillId="25" borderId="76" xfId="12" applyFont="1" applyFill="1" applyBorder="1" applyAlignment="1">
      <alignment horizontal="left" vertical="center" wrapText="1" indent="1"/>
    </xf>
    <xf numFmtId="0" fontId="49" fillId="0" borderId="27" xfId="12" applyFont="1" applyBorder="1" applyAlignment="1">
      <alignment horizontal="center" vertical="center" wrapText="1"/>
    </xf>
    <xf numFmtId="9" fontId="83" fillId="11" borderId="70" xfId="13" applyFont="1" applyFill="1" applyBorder="1" applyAlignment="1">
      <alignment horizontal="center" vertical="center" wrapText="1"/>
    </xf>
    <xf numFmtId="1" fontId="83" fillId="11" borderId="16" xfId="13" applyNumberFormat="1" applyFont="1" applyFill="1" applyBorder="1" applyAlignment="1">
      <alignment horizontal="center" vertical="center" wrapText="1"/>
    </xf>
    <xf numFmtId="9" fontId="83" fillId="11" borderId="79" xfId="13" applyFont="1" applyFill="1" applyBorder="1" applyAlignment="1">
      <alignment horizontal="center" vertical="center" wrapText="1"/>
    </xf>
    <xf numFmtId="0" fontId="25" fillId="0" borderId="9" xfId="12" applyFont="1" applyBorder="1" applyAlignment="1">
      <alignment horizontal="right" vertical="center" wrapText="1"/>
    </xf>
    <xf numFmtId="0" fontId="25" fillId="25" borderId="70" xfId="12" applyFont="1" applyFill="1" applyBorder="1" applyAlignment="1">
      <alignment horizontal="right" vertical="center" wrapText="1"/>
    </xf>
    <xf numFmtId="0" fontId="82" fillId="3" borderId="79" xfId="12" applyFont="1" applyFill="1" applyBorder="1" applyAlignment="1" applyProtection="1">
      <alignment horizontal="center" vertical="center"/>
      <protection locked="0"/>
    </xf>
    <xf numFmtId="0" fontId="20" fillId="0" borderId="0" xfId="11" applyAlignment="1">
      <alignment vertical="center"/>
    </xf>
    <xf numFmtId="10" fontId="50" fillId="4" borderId="16" xfId="10" applyNumberFormat="1" applyFont="1" applyFill="1" applyBorder="1" applyAlignment="1">
      <alignment horizontal="center" vertical="center" wrapText="1"/>
    </xf>
    <xf numFmtId="177" fontId="33" fillId="22" borderId="86" xfId="10" applyNumberFormat="1" applyFont="1" applyFill="1" applyBorder="1" applyAlignment="1">
      <alignment vertical="center" wrapText="1"/>
    </xf>
    <xf numFmtId="177" fontId="33" fillId="12" borderId="86" xfId="10" applyNumberFormat="1" applyFont="1" applyFill="1" applyBorder="1" applyAlignment="1">
      <alignment vertical="center" wrapText="1"/>
    </xf>
    <xf numFmtId="177" fontId="33" fillId="12" borderId="27" xfId="10" applyNumberFormat="1" applyFont="1" applyFill="1" applyBorder="1" applyAlignment="1">
      <alignment vertical="center" wrapText="1"/>
    </xf>
    <xf numFmtId="177" fontId="33" fillId="12" borderId="34" xfId="10" applyNumberFormat="1" applyFont="1" applyFill="1" applyBorder="1" applyAlignment="1">
      <alignment vertical="center" wrapText="1"/>
    </xf>
    <xf numFmtId="177" fontId="0" fillId="12" borderId="46" xfId="10" applyNumberFormat="1" applyFont="1" applyFill="1" applyBorder="1" applyAlignment="1">
      <alignment horizontal="center" vertical="center" wrapText="1"/>
    </xf>
    <xf numFmtId="177" fontId="0" fillId="3" borderId="86" xfId="10" applyNumberFormat="1" applyFont="1" applyFill="1" applyBorder="1" applyAlignment="1">
      <alignment vertical="center" wrapText="1"/>
    </xf>
    <xf numFmtId="2" fontId="17" fillId="0" borderId="0" xfId="0" applyNumberFormat="1" applyFont="1"/>
    <xf numFmtId="164" fontId="0" fillId="23" borderId="0" xfId="9" applyNumberFormat="1" applyFont="1" applyFill="1" applyAlignment="1">
      <alignment horizontal="left" indent="1"/>
    </xf>
    <xf numFmtId="0" fontId="82" fillId="0" borderId="63" xfId="12" applyFont="1" applyBorder="1" applyAlignment="1">
      <alignment horizontal="center" vertical="center"/>
    </xf>
    <xf numFmtId="0" fontId="50" fillId="0" borderId="60" xfId="12" applyFont="1" applyBorder="1" applyAlignment="1">
      <alignment horizontal="center" vertical="center"/>
    </xf>
    <xf numFmtId="0" fontId="50" fillId="0" borderId="62" xfId="12" applyFont="1" applyBorder="1" applyAlignment="1">
      <alignment horizontal="center" vertical="center"/>
    </xf>
    <xf numFmtId="0" fontId="50" fillId="0" borderId="79" xfId="12" applyFont="1" applyBorder="1" applyAlignment="1">
      <alignment horizontal="center" vertical="center"/>
    </xf>
    <xf numFmtId="177" fontId="50" fillId="4" borderId="83" xfId="10" applyNumberFormat="1" applyFont="1" applyFill="1" applyBorder="1" applyAlignment="1">
      <alignment horizontal="center" vertical="center" wrapText="1"/>
    </xf>
    <xf numFmtId="0" fontId="49" fillId="0" borderId="33" xfId="12" applyFont="1" applyBorder="1" applyAlignment="1">
      <alignment horizontal="center" vertical="center" wrapText="1"/>
    </xf>
    <xf numFmtId="177" fontId="50" fillId="4" borderId="79" xfId="10" applyNumberFormat="1" applyFont="1" applyFill="1" applyBorder="1" applyAlignment="1">
      <alignment horizontal="center" vertical="center" wrapText="1"/>
    </xf>
    <xf numFmtId="177" fontId="82" fillId="4" borderId="79" xfId="10" applyNumberFormat="1" applyFont="1" applyFill="1" applyBorder="1" applyAlignment="1">
      <alignment horizontal="center" vertical="center" wrapText="1"/>
    </xf>
    <xf numFmtId="177" fontId="82" fillId="4" borderId="63" xfId="10" applyNumberFormat="1" applyFont="1" applyFill="1" applyBorder="1" applyAlignment="1">
      <alignment horizontal="center" vertical="center" wrapText="1"/>
    </xf>
    <xf numFmtId="10" fontId="50" fillId="4" borderId="68" xfId="10" applyNumberFormat="1" applyFont="1" applyFill="1" applyBorder="1" applyAlignment="1">
      <alignment horizontal="center" vertical="center" wrapText="1"/>
    </xf>
    <xf numFmtId="10" fontId="50" fillId="4" borderId="6" xfId="10" applyNumberFormat="1" applyFont="1" applyFill="1" applyBorder="1" applyAlignment="1">
      <alignment horizontal="center" vertical="center" wrapText="1"/>
    </xf>
    <xf numFmtId="10" fontId="50" fillId="4" borderId="69" xfId="10" applyNumberFormat="1" applyFont="1" applyFill="1" applyBorder="1" applyAlignment="1">
      <alignment horizontal="center" vertical="center" wrapText="1"/>
    </xf>
    <xf numFmtId="177" fontId="50" fillId="4" borderId="67" xfId="10" applyNumberFormat="1" applyFont="1" applyFill="1" applyBorder="1" applyAlignment="1">
      <alignment horizontal="center" vertical="center" wrapText="1"/>
    </xf>
    <xf numFmtId="177" fontId="50" fillId="4" borderId="65" xfId="10" applyNumberFormat="1" applyFont="1" applyFill="1" applyBorder="1" applyAlignment="1">
      <alignment horizontal="center" vertical="center" wrapText="1"/>
    </xf>
    <xf numFmtId="177" fontId="50" fillId="43" borderId="66" xfId="10" applyNumberFormat="1" applyFont="1" applyFill="1" applyBorder="1" applyAlignment="1">
      <alignment horizontal="center" vertical="center" wrapText="1"/>
    </xf>
    <xf numFmtId="177" fontId="50" fillId="43" borderId="62" xfId="10" applyNumberFormat="1" applyFont="1" applyFill="1" applyBorder="1" applyAlignment="1">
      <alignment horizontal="center" vertical="center" wrapText="1"/>
    </xf>
    <xf numFmtId="177" fontId="82" fillId="4" borderId="16" xfId="10" applyNumberFormat="1" applyFont="1" applyFill="1" applyBorder="1" applyAlignment="1">
      <alignment horizontal="center" vertical="center" wrapText="1"/>
    </xf>
    <xf numFmtId="1" fontId="50" fillId="4" borderId="67" xfId="9" applyNumberFormat="1" applyFont="1" applyFill="1" applyBorder="1" applyAlignment="1">
      <alignment horizontal="center" vertical="center" wrapText="1"/>
    </xf>
    <xf numFmtId="9" fontId="50" fillId="4" borderId="59" xfId="10" applyFont="1" applyFill="1" applyBorder="1" applyAlignment="1">
      <alignment horizontal="center" vertical="center" wrapText="1"/>
    </xf>
    <xf numFmtId="177" fontId="50" fillId="4" borderId="68" xfId="10" applyNumberFormat="1" applyFont="1" applyFill="1" applyBorder="1" applyAlignment="1">
      <alignment horizontal="center" vertical="center" wrapText="1"/>
    </xf>
    <xf numFmtId="177" fontId="50" fillId="0" borderId="82" xfId="15" applyNumberFormat="1" applyFont="1" applyFill="1" applyBorder="1" applyAlignment="1" applyProtection="1">
      <alignment horizontal="center" vertical="center"/>
      <protection locked="0"/>
    </xf>
    <xf numFmtId="0" fontId="26" fillId="0" borderId="28" xfId="12" applyFont="1" applyBorder="1" applyAlignment="1">
      <alignment horizontal="center" vertical="center" wrapText="1"/>
    </xf>
    <xf numFmtId="1" fontId="58" fillId="3" borderId="60" xfId="12" applyNumberFormat="1" applyFont="1" applyFill="1" applyBorder="1" applyAlignment="1" applyProtection="1">
      <alignment horizontal="center" vertical="center" wrapText="1"/>
      <protection locked="0"/>
    </xf>
    <xf numFmtId="0" fontId="58" fillId="3" borderId="63" xfId="12" applyFont="1" applyFill="1" applyBorder="1" applyAlignment="1" applyProtection="1">
      <alignment horizontal="center" vertical="center" wrapText="1"/>
      <protection locked="0"/>
    </xf>
    <xf numFmtId="1" fontId="58" fillId="3" borderId="63" xfId="12" applyNumberFormat="1" applyFont="1" applyFill="1" applyBorder="1" applyAlignment="1" applyProtection="1">
      <alignment horizontal="center" vertical="center" wrapText="1"/>
      <protection locked="0"/>
    </xf>
    <xf numFmtId="0" fontId="26" fillId="23" borderId="89" xfId="12" applyFont="1" applyFill="1" applyBorder="1" applyAlignment="1">
      <alignment horizontal="center" vertical="center" wrapText="1"/>
    </xf>
    <xf numFmtId="0" fontId="58" fillId="3" borderId="62" xfId="12" applyFont="1" applyFill="1" applyBorder="1" applyAlignment="1" applyProtection="1">
      <alignment horizontal="center" vertical="center" wrapText="1"/>
      <protection locked="0"/>
    </xf>
    <xf numFmtId="0" fontId="26" fillId="0" borderId="89" xfId="12" applyFont="1" applyBorder="1" applyAlignment="1">
      <alignment horizontal="center" vertical="center" wrapText="1"/>
    </xf>
    <xf numFmtId="1" fontId="58" fillId="3" borderId="62" xfId="12" applyNumberFormat="1" applyFont="1" applyFill="1" applyBorder="1" applyAlignment="1" applyProtection="1">
      <alignment horizontal="center" vertical="center" wrapText="1"/>
      <protection locked="0"/>
    </xf>
    <xf numFmtId="0" fontId="0" fillId="0" borderId="22" xfId="0" applyBorder="1"/>
    <xf numFmtId="1" fontId="0" fillId="0" borderId="22" xfId="0" applyNumberFormat="1" applyBorder="1"/>
    <xf numFmtId="9" fontId="0" fillId="0" borderId="22" xfId="10" applyFont="1" applyBorder="1"/>
    <xf numFmtId="0" fontId="0" fillId="6" borderId="5" xfId="0" applyFill="1" applyBorder="1"/>
    <xf numFmtId="1" fontId="33" fillId="0" borderId="22" xfId="0" applyNumberFormat="1" applyFont="1" applyBorder="1"/>
    <xf numFmtId="0" fontId="0" fillId="12" borderId="22" xfId="0" applyFill="1" applyBorder="1"/>
    <xf numFmtId="3" fontId="0" fillId="6" borderId="22" xfId="0" applyNumberFormat="1" applyFill="1" applyBorder="1"/>
    <xf numFmtId="0" fontId="0" fillId="6" borderId="22" xfId="0" applyFill="1" applyBorder="1"/>
    <xf numFmtId="0" fontId="25" fillId="0" borderId="74" xfId="12" applyFont="1" applyBorder="1" applyAlignment="1">
      <alignment horizontal="left" vertical="center" wrapText="1" indent="1"/>
    </xf>
    <xf numFmtId="0" fontId="25" fillId="0" borderId="75" xfId="12" applyFont="1" applyBorder="1" applyAlignment="1">
      <alignment horizontal="left" vertical="center" wrapText="1" indent="1"/>
    </xf>
    <xf numFmtId="0" fontId="25" fillId="0" borderId="76" xfId="12" applyFont="1" applyBorder="1" applyAlignment="1">
      <alignment horizontal="left" vertical="center" wrapText="1" indent="1"/>
    </xf>
    <xf numFmtId="0" fontId="25" fillId="25" borderId="98" xfId="12" applyFont="1" applyFill="1" applyBorder="1" applyAlignment="1">
      <alignment horizontal="left" vertical="center" wrapText="1" indent="1"/>
    </xf>
    <xf numFmtId="0" fontId="60" fillId="3" borderId="60" xfId="12" applyFont="1" applyFill="1" applyBorder="1" applyAlignment="1" applyProtection="1">
      <alignment horizontal="center" vertical="center"/>
      <protection locked="0"/>
    </xf>
    <xf numFmtId="0" fontId="8" fillId="23" borderId="43" xfId="12" applyFont="1" applyFill="1" applyBorder="1"/>
    <xf numFmtId="1" fontId="58" fillId="11" borderId="60" xfId="12" applyNumberFormat="1" applyFont="1" applyFill="1" applyBorder="1" applyAlignment="1">
      <alignment horizontal="center" vertical="center" wrapText="1"/>
    </xf>
    <xf numFmtId="9" fontId="8" fillId="23" borderId="0" xfId="10" applyFont="1" applyFill="1" applyBorder="1"/>
    <xf numFmtId="0" fontId="49" fillId="23" borderId="19" xfId="12" applyFont="1" applyFill="1" applyBorder="1" applyAlignment="1">
      <alignment horizontal="center" vertical="center"/>
    </xf>
    <xf numFmtId="1" fontId="58" fillId="11" borderId="62" xfId="12" applyNumberFormat="1" applyFont="1" applyFill="1" applyBorder="1" applyAlignment="1">
      <alignment horizontal="center" vertical="center" wrapText="1"/>
    </xf>
    <xf numFmtId="0" fontId="72" fillId="23" borderId="0" xfId="12" applyFont="1" applyFill="1" applyAlignment="1" applyProtection="1">
      <alignment horizontal="center" vertical="center"/>
      <protection locked="0" hidden="1"/>
    </xf>
    <xf numFmtId="0" fontId="0" fillId="23" borderId="0" xfId="0" applyFill="1" applyProtection="1">
      <protection locked="0" hidden="1"/>
    </xf>
    <xf numFmtId="9" fontId="63" fillId="25" borderId="5" xfId="13" applyFont="1" applyFill="1" applyBorder="1" applyAlignment="1" applyProtection="1">
      <alignment vertical="center" wrapText="1"/>
      <protection locked="0" hidden="1"/>
    </xf>
    <xf numFmtId="9" fontId="25" fillId="25" borderId="5" xfId="13" applyFont="1" applyFill="1" applyBorder="1" applyAlignment="1" applyProtection="1">
      <alignment vertical="center" wrapText="1"/>
      <protection locked="0" hidden="1"/>
    </xf>
    <xf numFmtId="1" fontId="62" fillId="25" borderId="5" xfId="13" applyNumberFormat="1" applyFont="1" applyFill="1" applyBorder="1" applyAlignment="1" applyProtection="1">
      <alignment vertical="center" wrapText="1"/>
      <protection locked="0" hidden="1"/>
    </xf>
    <xf numFmtId="9" fontId="62" fillId="25" borderId="5" xfId="13" applyFont="1" applyFill="1" applyBorder="1" applyAlignment="1" applyProtection="1">
      <alignment vertical="center" wrapText="1"/>
      <protection locked="0" hidden="1"/>
    </xf>
    <xf numFmtId="9" fontId="84" fillId="36" borderId="5" xfId="13" applyFont="1" applyFill="1" applyBorder="1" applyAlignment="1" applyProtection="1">
      <alignment horizontal="left" vertical="center" wrapText="1" indent="1"/>
      <protection locked="0" hidden="1"/>
    </xf>
    <xf numFmtId="1" fontId="84" fillId="36" borderId="5" xfId="13" applyNumberFormat="1" applyFont="1" applyFill="1" applyBorder="1" applyAlignment="1" applyProtection="1">
      <alignment vertical="center" wrapText="1"/>
      <protection locked="0" hidden="1"/>
    </xf>
    <xf numFmtId="9" fontId="84" fillId="36" borderId="5" xfId="13" applyFont="1" applyFill="1" applyBorder="1" applyAlignment="1" applyProtection="1">
      <alignment vertical="center" wrapText="1"/>
      <protection locked="0" hidden="1"/>
    </xf>
    <xf numFmtId="9" fontId="85" fillId="37" borderId="5" xfId="13" applyFont="1" applyFill="1" applyBorder="1" applyAlignment="1" applyProtection="1">
      <alignment horizontal="left" vertical="center" wrapText="1" indent="3"/>
      <protection locked="0" hidden="1"/>
    </xf>
    <xf numFmtId="9" fontId="85" fillId="26" borderId="5" xfId="13" applyFont="1" applyFill="1" applyBorder="1" applyAlignment="1" applyProtection="1">
      <alignment horizontal="left" vertical="center" wrapText="1" indent="5"/>
      <protection locked="0" hidden="1"/>
    </xf>
    <xf numFmtId="9" fontId="85" fillId="40" borderId="5" xfId="13" applyFont="1" applyFill="1" applyBorder="1" applyAlignment="1" applyProtection="1">
      <alignment horizontal="left" vertical="center" wrapText="1" indent="5"/>
      <protection locked="0" hidden="1"/>
    </xf>
    <xf numFmtId="9" fontId="83" fillId="12" borderId="5" xfId="13" applyFont="1" applyFill="1" applyBorder="1" applyAlignment="1" applyProtection="1">
      <alignment horizontal="left" vertical="center" wrapText="1" indent="3"/>
      <protection locked="0" hidden="1"/>
    </xf>
    <xf numFmtId="9" fontId="84" fillId="41" borderId="5" xfId="13" applyFont="1" applyFill="1" applyBorder="1" applyAlignment="1" applyProtection="1">
      <alignment horizontal="left" vertical="center" wrapText="1" indent="1"/>
      <protection locked="0" hidden="1"/>
    </xf>
    <xf numFmtId="1" fontId="84" fillId="41" borderId="5" xfId="13" applyNumberFormat="1" applyFont="1" applyFill="1" applyBorder="1" applyAlignment="1" applyProtection="1">
      <alignment vertical="center" wrapText="1"/>
      <protection locked="0" hidden="1"/>
    </xf>
    <xf numFmtId="9" fontId="84" fillId="41" borderId="5" xfId="13" applyFont="1" applyFill="1" applyBorder="1" applyAlignment="1" applyProtection="1">
      <alignment vertical="center" wrapText="1"/>
      <protection locked="0" hidden="1"/>
    </xf>
    <xf numFmtId="9" fontId="85" fillId="28" borderId="5" xfId="13" applyFont="1" applyFill="1" applyBorder="1" applyAlignment="1" applyProtection="1">
      <alignment horizontal="left" vertical="center" wrapText="1" indent="3"/>
      <protection locked="0" hidden="1"/>
    </xf>
    <xf numFmtId="9" fontId="85" fillId="28" borderId="5" xfId="13" applyFont="1" applyFill="1" applyBorder="1" applyAlignment="1" applyProtection="1">
      <alignment horizontal="left" vertical="center" indent="5"/>
      <protection locked="0" hidden="1"/>
    </xf>
    <xf numFmtId="9" fontId="85" fillId="28" borderId="5" xfId="13" applyFont="1" applyFill="1" applyBorder="1" applyAlignment="1" applyProtection="1">
      <alignment horizontal="left" vertical="center" wrapText="1" indent="5"/>
      <protection locked="0" hidden="1"/>
    </xf>
    <xf numFmtId="9" fontId="25" fillId="29" borderId="5" xfId="13" applyFont="1" applyFill="1" applyBorder="1" applyAlignment="1" applyProtection="1">
      <alignment horizontal="left" vertical="center" wrapText="1" indent="3"/>
      <protection locked="0" hidden="1"/>
    </xf>
    <xf numFmtId="9" fontId="62" fillId="29" borderId="5" xfId="13" applyFont="1" applyFill="1" applyBorder="1" applyAlignment="1" applyProtection="1">
      <alignment horizontal="left" vertical="center" indent="5"/>
      <protection locked="0" hidden="1"/>
    </xf>
    <xf numFmtId="9" fontId="62" fillId="29" borderId="5" xfId="13" applyFont="1" applyFill="1" applyBorder="1" applyAlignment="1" applyProtection="1">
      <alignment horizontal="left" vertical="center" wrapText="1" indent="5"/>
      <protection locked="0" hidden="1"/>
    </xf>
    <xf numFmtId="9" fontId="62" fillId="4" borderId="5" xfId="13" applyFont="1" applyFill="1" applyBorder="1" applyAlignment="1" applyProtection="1">
      <alignment horizontal="left" vertical="center" wrapText="1" indent="3"/>
      <protection locked="0" hidden="1"/>
    </xf>
    <xf numFmtId="9" fontId="84" fillId="30" borderId="5" xfId="13" applyFont="1" applyFill="1" applyBorder="1" applyAlignment="1" applyProtection="1">
      <alignment horizontal="left" vertical="center" wrapText="1" indent="1"/>
      <protection locked="0" hidden="1"/>
    </xf>
    <xf numFmtId="1" fontId="84" fillId="30" borderId="5" xfId="13" applyNumberFormat="1" applyFont="1" applyFill="1" applyBorder="1" applyAlignment="1" applyProtection="1">
      <alignment vertical="center" wrapText="1"/>
      <protection locked="0" hidden="1"/>
    </xf>
    <xf numFmtId="9" fontId="84" fillId="30" borderId="5" xfId="13" applyFont="1" applyFill="1" applyBorder="1" applyAlignment="1" applyProtection="1">
      <alignment vertical="center" wrapText="1"/>
      <protection locked="0" hidden="1"/>
    </xf>
    <xf numFmtId="9" fontId="25" fillId="38" borderId="5" xfId="13" applyFont="1" applyFill="1" applyBorder="1" applyAlignment="1" applyProtection="1">
      <alignment horizontal="left" vertical="center" wrapText="1" indent="3"/>
      <protection locked="0" hidden="1"/>
    </xf>
    <xf numFmtId="9" fontId="25" fillId="39" borderId="5" xfId="13" applyFont="1" applyFill="1" applyBorder="1" applyAlignment="1" applyProtection="1">
      <alignment horizontal="left" vertical="center" wrapText="1" indent="3"/>
      <protection locked="0" hidden="1"/>
    </xf>
    <xf numFmtId="9" fontId="62" fillId="22" borderId="5" xfId="13" applyFont="1" applyFill="1" applyBorder="1" applyAlignment="1" applyProtection="1">
      <alignment horizontal="left" vertical="center" wrapText="1" indent="3"/>
      <protection locked="0" hidden="1"/>
    </xf>
    <xf numFmtId="9" fontId="25" fillId="11" borderId="68" xfId="13" applyFont="1" applyFill="1" applyBorder="1" applyAlignment="1">
      <alignment horizontal="center" vertical="center" wrapText="1"/>
    </xf>
    <xf numFmtId="9" fontId="25" fillId="11" borderId="6" xfId="13" applyFont="1" applyFill="1" applyBorder="1" applyAlignment="1">
      <alignment horizontal="center" vertical="center" wrapText="1"/>
    </xf>
    <xf numFmtId="9" fontId="25" fillId="11" borderId="69" xfId="13" applyFont="1" applyFill="1" applyBorder="1" applyAlignment="1">
      <alignment horizontal="center" vertical="center" wrapText="1"/>
    </xf>
    <xf numFmtId="0" fontId="25" fillId="3" borderId="17" xfId="12" applyFont="1" applyFill="1" applyBorder="1" applyAlignment="1" applyProtection="1">
      <alignment horizontal="right" vertical="center" wrapText="1"/>
      <protection locked="0"/>
    </xf>
    <xf numFmtId="1" fontId="50" fillId="3" borderId="36" xfId="12" applyNumberFormat="1" applyFont="1" applyFill="1" applyBorder="1" applyAlignment="1" applyProtection="1">
      <alignment horizontal="center" vertical="center"/>
      <protection locked="0"/>
    </xf>
    <xf numFmtId="9" fontId="50" fillId="3" borderId="60" xfId="10" applyFont="1" applyFill="1" applyBorder="1" applyAlignment="1" applyProtection="1">
      <alignment horizontal="center" vertical="center" wrapText="1"/>
      <protection locked="0"/>
    </xf>
    <xf numFmtId="9" fontId="50" fillId="3" borderId="63" xfId="10" applyFont="1" applyFill="1" applyBorder="1" applyAlignment="1" applyProtection="1">
      <alignment horizontal="center" vertical="center" wrapText="1"/>
      <protection locked="0"/>
    </xf>
    <xf numFmtId="9" fontId="50" fillId="3" borderId="62" xfId="10" applyFont="1" applyFill="1" applyBorder="1" applyAlignment="1" applyProtection="1">
      <alignment horizontal="center" vertical="center" wrapText="1"/>
      <protection locked="0"/>
    </xf>
    <xf numFmtId="0" fontId="49" fillId="0" borderId="86" xfId="12" applyFont="1" applyBorder="1" applyAlignment="1">
      <alignment horizontal="center" vertical="center" wrapText="1"/>
    </xf>
    <xf numFmtId="9" fontId="0" fillId="0" borderId="22" xfId="10" applyFont="1" applyFill="1" applyBorder="1"/>
    <xf numFmtId="0" fontId="25" fillId="0" borderId="35" xfId="12" applyFont="1" applyBorder="1" applyAlignment="1">
      <alignment horizontal="left" vertical="center" wrapText="1" indent="1"/>
    </xf>
    <xf numFmtId="0" fontId="25" fillId="0" borderId="22" xfId="12" applyFont="1" applyBorder="1" applyAlignment="1">
      <alignment horizontal="left" vertical="center" wrapText="1" indent="1"/>
    </xf>
    <xf numFmtId="0" fontId="25" fillId="0" borderId="8" xfId="12" applyFont="1" applyBorder="1" applyAlignment="1">
      <alignment horizontal="left" vertical="center" wrapText="1" indent="1"/>
    </xf>
    <xf numFmtId="0" fontId="25" fillId="0" borderId="72" xfId="12" applyFont="1" applyBorder="1" applyAlignment="1">
      <alignment horizontal="left" vertical="center" wrapText="1" indent="1"/>
    </xf>
    <xf numFmtId="0" fontId="25" fillId="0" borderId="59" xfId="12" applyFont="1" applyBorder="1" applyAlignment="1">
      <alignment horizontal="left" vertical="center" wrapText="1" indent="1"/>
    </xf>
    <xf numFmtId="0" fontId="25" fillId="0" borderId="60" xfId="12" applyFont="1" applyBorder="1" applyAlignment="1">
      <alignment horizontal="left" vertical="center" wrapText="1" indent="1"/>
    </xf>
    <xf numFmtId="0" fontId="25" fillId="0" borderId="65" xfId="12" applyFont="1" applyBorder="1" applyAlignment="1">
      <alignment horizontal="left" vertical="center" wrapText="1" indent="1"/>
    </xf>
    <xf numFmtId="0" fontId="25" fillId="0" borderId="5" xfId="12" applyFont="1" applyBorder="1" applyAlignment="1">
      <alignment horizontal="left" vertical="center" wrapText="1" indent="1"/>
    </xf>
    <xf numFmtId="0" fontId="25" fillId="0" borderId="63" xfId="12" applyFont="1" applyBorder="1" applyAlignment="1">
      <alignment horizontal="left" vertical="center" wrapText="1" indent="1"/>
    </xf>
    <xf numFmtId="0" fontId="49" fillId="0" borderId="43" xfId="12" applyFont="1" applyBorder="1" applyAlignment="1">
      <alignment horizontal="center" vertical="center" wrapText="1"/>
    </xf>
    <xf numFmtId="0" fontId="49" fillId="0" borderId="42" xfId="12" applyFont="1" applyBorder="1" applyAlignment="1">
      <alignment horizontal="center" vertical="center" wrapText="1"/>
    </xf>
    <xf numFmtId="0" fontId="25" fillId="0" borderId="6" xfId="12" applyFont="1" applyBorder="1" applyAlignment="1">
      <alignment horizontal="left" vertical="center" wrapText="1" indent="1"/>
    </xf>
    <xf numFmtId="0" fontId="49" fillId="0" borderId="77" xfId="12" applyFont="1" applyBorder="1" applyAlignment="1">
      <alignment horizontal="center" vertical="center" wrapText="1"/>
    </xf>
    <xf numFmtId="0" fontId="49" fillId="0" borderId="87" xfId="12" applyFont="1" applyBorder="1" applyAlignment="1">
      <alignment horizontal="center" vertical="center" wrapText="1"/>
    </xf>
    <xf numFmtId="0" fontId="49" fillId="0" borderId="94" xfId="12" applyFont="1" applyBorder="1" applyAlignment="1">
      <alignment horizontal="center" vertical="center" wrapText="1"/>
    </xf>
    <xf numFmtId="0" fontId="25" fillId="0" borderId="70" xfId="12" applyFont="1" applyBorder="1" applyAlignment="1">
      <alignment horizontal="left" vertical="center" wrapText="1" indent="1"/>
    </xf>
    <xf numFmtId="0" fontId="25" fillId="0" borderId="16" xfId="12" applyFont="1" applyBorder="1" applyAlignment="1">
      <alignment horizontal="left" vertical="center" wrapText="1" indent="1"/>
    </xf>
    <xf numFmtId="0" fontId="25" fillId="0" borderId="14" xfId="12" applyFont="1" applyBorder="1" applyAlignment="1">
      <alignment horizontal="left" vertical="center" wrapText="1" indent="1"/>
    </xf>
    <xf numFmtId="0" fontId="58" fillId="23" borderId="0" xfId="12" applyFont="1" applyFill="1"/>
    <xf numFmtId="0" fontId="58" fillId="23" borderId="0" xfId="12" applyFont="1" applyFill="1" applyAlignment="1">
      <alignment wrapText="1"/>
    </xf>
    <xf numFmtId="0" fontId="60" fillId="23" borderId="45" xfId="12" applyFont="1" applyFill="1" applyBorder="1" applyAlignment="1">
      <alignment horizontal="center" wrapText="1"/>
    </xf>
    <xf numFmtId="0" fontId="50" fillId="3" borderId="67" xfId="12" applyFont="1" applyFill="1" applyBorder="1" applyAlignment="1">
      <alignment horizontal="center" wrapText="1"/>
    </xf>
    <xf numFmtId="0" fontId="50" fillId="11" borderId="65" xfId="12" applyFont="1" applyFill="1" applyBorder="1" applyAlignment="1">
      <alignment horizontal="center" wrapText="1"/>
    </xf>
    <xf numFmtId="0" fontId="116" fillId="23" borderId="0" xfId="12" applyFont="1" applyFill="1" applyAlignment="1">
      <alignment horizontal="center" vertical="center" wrapText="1"/>
    </xf>
    <xf numFmtId="0" fontId="116" fillId="23" borderId="46" xfId="12" applyFont="1" applyFill="1" applyBorder="1" applyAlignment="1">
      <alignment horizontal="center" vertical="center" wrapText="1"/>
    </xf>
    <xf numFmtId="0" fontId="25" fillId="0" borderId="43" xfId="12" applyFont="1" applyBorder="1" applyAlignment="1">
      <alignment horizontal="center" vertical="center" wrapText="1"/>
    </xf>
    <xf numFmtId="0" fontId="25" fillId="0" borderId="10" xfId="12" applyFont="1" applyBorder="1" applyAlignment="1">
      <alignment horizontal="center" vertical="center" wrapText="1"/>
    </xf>
    <xf numFmtId="0" fontId="25" fillId="0" borderId="71" xfId="12" applyFont="1" applyBorder="1" applyAlignment="1">
      <alignment horizontal="center" vertical="center" wrapText="1"/>
    </xf>
    <xf numFmtId="0" fontId="25" fillId="0" borderId="22" xfId="12" applyFont="1" applyBorder="1" applyAlignment="1">
      <alignment horizontal="center" vertical="center" wrapText="1"/>
    </xf>
    <xf numFmtId="0" fontId="25" fillId="0" borderId="21" xfId="12" applyFont="1" applyBorder="1" applyAlignment="1">
      <alignment horizontal="center" vertical="center" wrapText="1"/>
    </xf>
    <xf numFmtId="0" fontId="25" fillId="0" borderId="40" xfId="12" applyFont="1" applyBorder="1" applyAlignment="1">
      <alignment horizontal="center" vertical="center" wrapText="1"/>
    </xf>
    <xf numFmtId="0" fontId="77" fillId="0" borderId="16" xfId="12" applyFont="1" applyBorder="1" applyAlignment="1">
      <alignment horizontal="center" vertical="center" wrapText="1"/>
    </xf>
    <xf numFmtId="0" fontId="80" fillId="0" borderId="37" xfId="12" applyFont="1" applyBorder="1" applyAlignment="1">
      <alignment horizontal="center" vertical="center"/>
    </xf>
    <xf numFmtId="0" fontId="80" fillId="0" borderId="39" xfId="12" applyFont="1" applyBorder="1" applyAlignment="1">
      <alignment horizontal="center" vertical="center"/>
    </xf>
    <xf numFmtId="0" fontId="51" fillId="0" borderId="42" xfId="12" applyFont="1" applyBorder="1" applyAlignment="1">
      <alignment horizontal="center" vertical="center"/>
    </xf>
    <xf numFmtId="0" fontId="51" fillId="0" borderId="45" xfId="12" applyFont="1" applyBorder="1" applyAlignment="1">
      <alignment horizontal="center" vertical="center"/>
    </xf>
    <xf numFmtId="0" fontId="51" fillId="0" borderId="20" xfId="12" applyFont="1" applyBorder="1" applyAlignment="1">
      <alignment horizontal="center" vertical="center"/>
    </xf>
    <xf numFmtId="0" fontId="25" fillId="0" borderId="64" xfId="12" applyFont="1" applyBorder="1" applyAlignment="1">
      <alignment horizontal="center" vertical="center" wrapText="1"/>
    </xf>
    <xf numFmtId="0" fontId="25" fillId="0" borderId="16" xfId="12" applyFont="1" applyBorder="1" applyAlignment="1">
      <alignment horizontal="center" vertical="center" wrapText="1"/>
    </xf>
    <xf numFmtId="0" fontId="50" fillId="4" borderId="35" xfId="12" applyFont="1" applyFill="1" applyBorder="1" applyAlignment="1">
      <alignment horizontal="center" vertical="center" wrapText="1"/>
    </xf>
    <xf numFmtId="0" fontId="27" fillId="0" borderId="22" xfId="12" applyFont="1" applyBorder="1" applyAlignment="1">
      <alignment horizontal="center" vertical="center" wrapText="1"/>
    </xf>
    <xf numFmtId="0" fontId="51" fillId="0" borderId="58" xfId="12" applyFont="1" applyBorder="1" applyAlignment="1">
      <alignment horizontal="center" vertical="center"/>
    </xf>
    <xf numFmtId="0" fontId="25" fillId="0" borderId="59" xfId="12" applyFont="1" applyBorder="1" applyAlignment="1">
      <alignment horizontal="center" vertical="center" wrapText="1"/>
    </xf>
    <xf numFmtId="0" fontId="51" fillId="0" borderId="37" xfId="12" applyFont="1" applyBorder="1" applyAlignment="1">
      <alignment horizontal="center" vertical="center"/>
    </xf>
    <xf numFmtId="0" fontId="51" fillId="0" borderId="39" xfId="12" applyFont="1" applyBorder="1" applyAlignment="1">
      <alignment horizontal="center" vertical="center"/>
    </xf>
    <xf numFmtId="0" fontId="47" fillId="23" borderId="42" xfId="12" applyFont="1" applyFill="1" applyBorder="1" applyAlignment="1">
      <alignment horizontal="center" vertical="center"/>
    </xf>
    <xf numFmtId="0" fontId="47" fillId="23" borderId="43" xfId="12" applyFont="1" applyFill="1" applyBorder="1" applyAlignment="1">
      <alignment horizontal="center" vertical="center"/>
    </xf>
    <xf numFmtId="0" fontId="47" fillId="23" borderId="44" xfId="12" applyFont="1" applyFill="1" applyBorder="1" applyAlignment="1">
      <alignment horizontal="center" vertical="center"/>
    </xf>
    <xf numFmtId="0" fontId="25" fillId="0" borderId="68" xfId="12" applyFont="1" applyBorder="1" applyAlignment="1">
      <alignment horizontal="left" vertical="center" wrapText="1" indent="1"/>
    </xf>
    <xf numFmtId="0" fontId="25" fillId="0" borderId="66" xfId="12" applyFont="1" applyBorder="1" applyAlignment="1">
      <alignment horizontal="left" vertical="center" wrapText="1" indent="1"/>
    </xf>
    <xf numFmtId="0" fontId="25" fillId="0" borderId="61" xfId="12" applyFont="1" applyBorder="1" applyAlignment="1">
      <alignment horizontal="left" vertical="center" wrapText="1" indent="1"/>
    </xf>
    <xf numFmtId="0" fontId="25" fillId="0" borderId="62" xfId="12" applyFont="1" applyBorder="1" applyAlignment="1">
      <alignment horizontal="left" vertical="center" wrapText="1" indent="1"/>
    </xf>
    <xf numFmtId="0" fontId="25" fillId="0" borderId="71" xfId="12" applyFont="1" applyBorder="1" applyAlignment="1">
      <alignment horizontal="left" vertical="center" wrapText="1" indent="1"/>
    </xf>
    <xf numFmtId="0" fontId="25" fillId="0" borderId="69" xfId="12" applyFont="1" applyBorder="1" applyAlignment="1">
      <alignment horizontal="left" vertical="center" wrapText="1" indent="1"/>
    </xf>
    <xf numFmtId="0" fontId="25" fillId="0" borderId="17" xfId="12" applyFont="1" applyBorder="1" applyAlignment="1">
      <alignment horizontal="left" vertical="center" wrapText="1" indent="1"/>
    </xf>
    <xf numFmtId="9" fontId="25" fillId="11" borderId="65" xfId="13" applyFont="1" applyFill="1" applyBorder="1" applyAlignment="1">
      <alignment horizontal="center" vertical="center" wrapText="1"/>
    </xf>
    <xf numFmtId="9" fontId="25" fillId="11" borderId="66" xfId="13" applyFont="1" applyFill="1" applyBorder="1" applyAlignment="1">
      <alignment horizontal="center" vertical="center" wrapText="1"/>
    </xf>
    <xf numFmtId="0" fontId="62" fillId="0" borderId="5" xfId="12" applyFont="1" applyBorder="1" applyAlignment="1">
      <alignment horizontal="center" vertical="center" wrapText="1"/>
    </xf>
    <xf numFmtId="9" fontId="62" fillId="0" borderId="5" xfId="13" applyFont="1" applyBorder="1" applyAlignment="1">
      <alignment horizontal="center" vertical="center" wrapText="1"/>
    </xf>
    <xf numFmtId="0" fontId="27" fillId="0" borderId="5" xfId="12" applyFont="1" applyBorder="1" applyAlignment="1">
      <alignment horizontal="center" vertical="center" wrapText="1"/>
    </xf>
    <xf numFmtId="9" fontId="25" fillId="0" borderId="5" xfId="13" applyFont="1" applyFill="1" applyBorder="1" applyAlignment="1">
      <alignment horizontal="center" vertical="center" wrapText="1"/>
    </xf>
    <xf numFmtId="9" fontId="25" fillId="0" borderId="5" xfId="13" applyFont="1" applyBorder="1" applyAlignment="1">
      <alignment horizontal="center" vertical="center" wrapText="1"/>
    </xf>
    <xf numFmtId="0" fontId="19" fillId="42" borderId="13" xfId="0" applyFont="1" applyFill="1" applyBorder="1" applyAlignment="1">
      <alignment horizontal="left"/>
    </xf>
    <xf numFmtId="0" fontId="25" fillId="0" borderId="5" xfId="12" applyFont="1" applyBorder="1" applyAlignment="1">
      <alignment horizontal="center" vertical="center" wrapText="1"/>
    </xf>
    <xf numFmtId="0" fontId="25" fillId="0" borderId="6" xfId="12" applyFont="1" applyBorder="1" applyAlignment="1">
      <alignment horizontal="center" vertical="center" wrapText="1"/>
    </xf>
    <xf numFmtId="0" fontId="25" fillId="0" borderId="7" xfId="12" applyFont="1" applyBorder="1" applyAlignment="1">
      <alignment horizontal="center" vertical="center" wrapText="1"/>
    </xf>
    <xf numFmtId="0" fontId="25" fillId="0" borderId="17" xfId="12" applyFont="1" applyBorder="1" applyAlignment="1">
      <alignment horizontal="center" vertical="center" wrapText="1"/>
    </xf>
    <xf numFmtId="9" fontId="25" fillId="0" borderId="5" xfId="13" applyFont="1" applyFill="1" applyBorder="1" applyAlignment="1">
      <alignment horizontal="center" vertical="center"/>
    </xf>
    <xf numFmtId="9" fontId="49" fillId="23" borderId="5" xfId="13" applyFont="1" applyFill="1" applyBorder="1" applyAlignment="1" applyProtection="1">
      <alignment horizontal="center" vertical="center" wrapText="1"/>
      <protection locked="0" hidden="1"/>
    </xf>
    <xf numFmtId="0" fontId="69" fillId="23" borderId="0" xfId="0" applyFont="1" applyFill="1" applyAlignment="1">
      <alignment horizontal="left" vertical="center"/>
    </xf>
    <xf numFmtId="0" fontId="17" fillId="12" borderId="27" xfId="0" applyFont="1" applyFill="1" applyBorder="1" applyAlignment="1">
      <alignment horizontal="center" vertical="center" wrapText="1"/>
    </xf>
    <xf numFmtId="0" fontId="17" fillId="12" borderId="34" xfId="0" applyFont="1" applyFill="1" applyBorder="1" applyAlignment="1">
      <alignment horizontal="center" vertical="center" wrapText="1"/>
    </xf>
    <xf numFmtId="0" fontId="17" fillId="12" borderId="45" xfId="0" applyFont="1" applyFill="1" applyBorder="1" applyAlignment="1">
      <alignment horizontal="center" vertical="center" wrapText="1"/>
    </xf>
    <xf numFmtId="0" fontId="17" fillId="12" borderId="20"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34" xfId="0" applyFont="1" applyFill="1" applyBorder="1" applyAlignment="1">
      <alignment horizontal="center" vertical="center" wrapText="1"/>
    </xf>
    <xf numFmtId="0" fontId="33" fillId="3" borderId="18"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22" borderId="42" xfId="0" applyFont="1" applyFill="1" applyBorder="1" applyAlignment="1">
      <alignment horizontal="center" vertical="center" wrapText="1"/>
    </xf>
    <xf numFmtId="0" fontId="17" fillId="22" borderId="45" xfId="0" applyFont="1" applyFill="1" applyBorder="1" applyAlignment="1">
      <alignment horizontal="center" vertical="center" wrapText="1"/>
    </xf>
    <xf numFmtId="0" fontId="17" fillId="22" borderId="20" xfId="0" applyFont="1" applyFill="1" applyBorder="1" applyAlignment="1">
      <alignment horizontal="center" vertical="center" wrapText="1"/>
    </xf>
    <xf numFmtId="0" fontId="0" fillId="22" borderId="28" xfId="0" applyFill="1" applyBorder="1" applyAlignment="1">
      <alignment horizontal="center" vertical="center" wrapText="1"/>
    </xf>
    <xf numFmtId="0" fontId="0" fillId="22" borderId="82" xfId="0" applyFill="1" applyBorder="1" applyAlignment="1">
      <alignment horizontal="center" vertical="center" wrapText="1"/>
    </xf>
    <xf numFmtId="0" fontId="0" fillId="22" borderId="89" xfId="0" applyFill="1" applyBorder="1" applyAlignment="1">
      <alignment horizontal="center" vertical="center" wrapText="1"/>
    </xf>
    <xf numFmtId="9" fontId="33" fillId="33" borderId="58" xfId="0" applyNumberFormat="1" applyFont="1" applyFill="1" applyBorder="1" applyAlignment="1">
      <alignment horizontal="center" vertical="center" wrapText="1"/>
    </xf>
    <xf numFmtId="9" fontId="33" fillId="33" borderId="39" xfId="0" applyNumberFormat="1" applyFont="1" applyFill="1" applyBorder="1" applyAlignment="1">
      <alignment horizontal="center" vertical="center" wrapText="1"/>
    </xf>
    <xf numFmtId="0" fontId="0" fillId="22" borderId="64" xfId="0" applyFill="1" applyBorder="1" applyAlignment="1">
      <alignment horizontal="center" vertical="center" wrapText="1"/>
    </xf>
    <xf numFmtId="0" fontId="0" fillId="22" borderId="40" xfId="0" applyFill="1" applyBorder="1" applyAlignment="1">
      <alignment horizontal="center" vertical="center" wrapText="1"/>
    </xf>
    <xf numFmtId="9" fontId="33" fillId="22" borderId="27" xfId="10" applyFont="1" applyFill="1" applyBorder="1" applyAlignment="1">
      <alignment horizontal="center" vertical="center" wrapText="1"/>
    </xf>
    <xf numFmtId="9" fontId="33" fillId="22" borderId="18" xfId="10" applyFont="1" applyFill="1" applyBorder="1" applyAlignment="1">
      <alignment horizontal="center" vertical="center" wrapText="1"/>
    </xf>
    <xf numFmtId="0" fontId="0" fillId="12" borderId="74" xfId="0" applyFill="1" applyBorder="1" applyAlignment="1">
      <alignment horizontal="center" vertical="center" wrapText="1"/>
    </xf>
    <xf numFmtId="0" fontId="0" fillId="12" borderId="75" xfId="0" applyFill="1" applyBorder="1" applyAlignment="1">
      <alignment horizontal="center" vertical="center" wrapText="1"/>
    </xf>
    <xf numFmtId="0" fontId="0" fillId="12" borderId="80" xfId="0" applyFill="1" applyBorder="1" applyAlignment="1">
      <alignment horizontal="center" vertical="center" wrapText="1"/>
    </xf>
    <xf numFmtId="0" fontId="0" fillId="12" borderId="27" xfId="0" applyFill="1" applyBorder="1" applyAlignment="1">
      <alignment horizontal="center" vertical="center" wrapText="1"/>
    </xf>
    <xf numFmtId="0" fontId="0" fillId="12" borderId="34" xfId="0" applyFill="1" applyBorder="1" applyAlignment="1">
      <alignment horizontal="center" vertical="center" wrapText="1"/>
    </xf>
    <xf numFmtId="0" fontId="0" fillId="12" borderId="18" xfId="0" applyFill="1" applyBorder="1" applyAlignment="1">
      <alignment horizontal="center" vertical="center" wrapText="1"/>
    </xf>
    <xf numFmtId="177" fontId="33" fillId="4" borderId="27" xfId="10" applyNumberFormat="1" applyFont="1" applyFill="1" applyBorder="1" applyAlignment="1">
      <alignment horizontal="center" vertical="center" wrapText="1"/>
    </xf>
    <xf numFmtId="177" fontId="33" fillId="4" borderId="34" xfId="10" applyNumberFormat="1" applyFont="1" applyFill="1" applyBorder="1" applyAlignment="1">
      <alignment horizontal="center" vertical="center" wrapText="1"/>
    </xf>
    <xf numFmtId="177" fontId="33" fillId="22" borderId="34" xfId="10" applyNumberFormat="1" applyFont="1" applyFill="1" applyBorder="1" applyAlignment="1">
      <alignment horizontal="center" vertical="center" wrapText="1"/>
    </xf>
    <xf numFmtId="177" fontId="33" fillId="22" borderId="44" xfId="10" applyNumberFormat="1" applyFont="1" applyFill="1" applyBorder="1" applyAlignment="1">
      <alignment horizontal="center" vertical="center" wrapText="1"/>
    </xf>
    <xf numFmtId="177" fontId="33" fillId="22" borderId="47" xfId="10" applyNumberFormat="1" applyFont="1" applyFill="1" applyBorder="1" applyAlignment="1">
      <alignment horizontal="center" vertical="center" wrapText="1"/>
    </xf>
    <xf numFmtId="177" fontId="33" fillId="44" borderId="38" xfId="10" applyNumberFormat="1" applyFont="1" applyFill="1" applyBorder="1" applyAlignment="1">
      <alignment horizontal="center" vertical="center" wrapText="1"/>
    </xf>
    <xf numFmtId="177" fontId="0" fillId="3" borderId="27" xfId="10" applyNumberFormat="1" applyFont="1" applyFill="1" applyBorder="1" applyAlignment="1">
      <alignment horizontal="center" vertical="center" wrapText="1"/>
    </xf>
    <xf numFmtId="177" fontId="0" fillId="3" borderId="34" xfId="10" applyNumberFormat="1" applyFont="1" applyFill="1" applyBorder="1" applyAlignment="1">
      <alignment horizontal="center" vertical="center" wrapText="1"/>
    </xf>
    <xf numFmtId="177" fontId="0" fillId="3" borderId="18" xfId="10" applyNumberFormat="1" applyFont="1" applyFill="1" applyBorder="1" applyAlignment="1">
      <alignment horizontal="center" vertical="center" wrapText="1"/>
    </xf>
    <xf numFmtId="9" fontId="33" fillId="4" borderId="27" xfId="10" applyFont="1" applyFill="1" applyBorder="1" applyAlignment="1">
      <alignment horizontal="center" vertical="center" wrapText="1"/>
    </xf>
    <xf numFmtId="9" fontId="33" fillId="4" borderId="34" xfId="10" applyFont="1" applyFill="1" applyBorder="1" applyAlignment="1">
      <alignment horizontal="center" vertical="center" wrapText="1"/>
    </xf>
    <xf numFmtId="9" fontId="33" fillId="4" borderId="18" xfId="10" applyFont="1" applyFill="1" applyBorder="1" applyAlignment="1">
      <alignment horizontal="center" vertical="center" wrapText="1"/>
    </xf>
    <xf numFmtId="0" fontId="0" fillId="22" borderId="21" xfId="0" applyFill="1" applyBorder="1" applyAlignment="1">
      <alignment horizontal="center" vertical="center" wrapText="1"/>
    </xf>
    <xf numFmtId="9" fontId="33" fillId="33" borderId="37" xfId="0" applyNumberFormat="1" applyFont="1" applyFill="1" applyBorder="1" applyAlignment="1">
      <alignment horizontal="center" vertical="center" wrapText="1"/>
    </xf>
    <xf numFmtId="166" fontId="33" fillId="22" borderId="27" xfId="10" applyNumberFormat="1" applyFont="1" applyFill="1" applyBorder="1" applyAlignment="1">
      <alignment horizontal="center" vertical="center" wrapText="1"/>
    </xf>
    <xf numFmtId="166" fontId="33" fillId="22" borderId="34" xfId="10" applyNumberFormat="1" applyFont="1" applyFill="1" applyBorder="1" applyAlignment="1">
      <alignment horizontal="center" vertical="center" wrapText="1"/>
    </xf>
    <xf numFmtId="0" fontId="0" fillId="3" borderId="64"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40" xfId="0" applyFill="1" applyBorder="1" applyAlignment="1">
      <alignment horizontal="center" vertical="center" wrapText="1"/>
    </xf>
    <xf numFmtId="9" fontId="0" fillId="35" borderId="58" xfId="0" applyNumberFormat="1" applyFill="1" applyBorder="1" applyAlignment="1">
      <alignment horizontal="center" vertical="center" wrapText="1"/>
    </xf>
    <xf numFmtId="9" fontId="0" fillId="35" borderId="37" xfId="0" applyNumberFormat="1" applyFill="1" applyBorder="1" applyAlignment="1">
      <alignment horizontal="center" vertical="center" wrapText="1"/>
    </xf>
    <xf numFmtId="9" fontId="0" fillId="35" borderId="39" xfId="0" applyNumberFormat="1" applyFill="1" applyBorder="1" applyAlignment="1">
      <alignment horizontal="center" vertical="center" wrapText="1"/>
    </xf>
    <xf numFmtId="10" fontId="0" fillId="3" borderId="27" xfId="10" applyNumberFormat="1" applyFont="1" applyFill="1" applyBorder="1" applyAlignment="1">
      <alignment horizontal="center" vertical="center" wrapText="1"/>
    </xf>
    <xf numFmtId="10" fontId="0" fillId="3" borderId="34" xfId="10" applyNumberFormat="1" applyFont="1" applyFill="1" applyBorder="1" applyAlignment="1">
      <alignment horizontal="center" vertical="center" wrapText="1"/>
    </xf>
    <xf numFmtId="10" fontId="0" fillId="3" borderId="18" xfId="10" applyNumberFormat="1" applyFont="1" applyFill="1" applyBorder="1" applyAlignment="1">
      <alignment horizontal="center" vertical="center" wrapText="1"/>
    </xf>
    <xf numFmtId="9" fontId="33" fillId="32" borderId="73" xfId="0" applyNumberFormat="1" applyFont="1" applyFill="1" applyBorder="1" applyAlignment="1">
      <alignment horizontal="center" vertical="center" wrapText="1"/>
    </xf>
    <xf numFmtId="9" fontId="33" fillId="32" borderId="12" xfId="0" applyNumberFormat="1" applyFont="1" applyFill="1" applyBorder="1" applyAlignment="1">
      <alignment horizontal="center" vertical="center" wrapText="1"/>
    </xf>
    <xf numFmtId="9" fontId="0" fillId="34" borderId="73" xfId="0" applyNumberFormat="1" applyFill="1" applyBorder="1" applyAlignment="1">
      <alignment horizontal="center" vertical="center" wrapText="1"/>
    </xf>
    <xf numFmtId="9" fontId="0" fillId="34" borderId="12" xfId="0" applyNumberFormat="1" applyFill="1" applyBorder="1" applyAlignment="1">
      <alignment horizontal="center" vertical="center" wrapText="1"/>
    </xf>
    <xf numFmtId="0" fontId="0" fillId="4" borderId="64"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40" xfId="0" applyFill="1" applyBorder="1" applyAlignment="1">
      <alignment horizontal="center" vertical="center" wrapText="1"/>
    </xf>
    <xf numFmtId="9" fontId="0" fillId="32" borderId="58" xfId="0" applyNumberFormat="1" applyFill="1" applyBorder="1" applyAlignment="1">
      <alignment horizontal="center" vertical="center" wrapText="1"/>
    </xf>
    <xf numFmtId="9" fontId="0" fillId="32" borderId="37" xfId="0" applyNumberFormat="1" applyFill="1" applyBorder="1" applyAlignment="1">
      <alignment horizontal="center" vertical="center" wrapText="1"/>
    </xf>
    <xf numFmtId="9" fontId="0" fillId="32" borderId="39" xfId="0" applyNumberFormat="1" applyFill="1" applyBorder="1" applyAlignment="1">
      <alignment horizontal="center" vertical="center" wrapText="1"/>
    </xf>
    <xf numFmtId="0" fontId="19" fillId="23" borderId="42" xfId="0" applyFont="1" applyFill="1" applyBorder="1" applyAlignment="1">
      <alignment horizontal="center" vertical="center" wrapText="1"/>
    </xf>
    <xf numFmtId="0" fontId="19" fillId="23" borderId="20"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20" xfId="0" applyFont="1" applyFill="1" applyBorder="1" applyAlignment="1">
      <alignment horizontal="center" vertical="center" wrapText="1"/>
    </xf>
    <xf numFmtId="9" fontId="0" fillId="4" borderId="27" xfId="10" applyFont="1" applyFill="1" applyBorder="1" applyAlignment="1">
      <alignment horizontal="center" vertical="center" wrapText="1"/>
    </xf>
    <xf numFmtId="9" fontId="0" fillId="4" borderId="34" xfId="10" applyFont="1" applyFill="1" applyBorder="1" applyAlignment="1">
      <alignment horizontal="center" vertical="center" wrapText="1"/>
    </xf>
    <xf numFmtId="9" fontId="0" fillId="4" borderId="18" xfId="10" applyFont="1" applyFill="1" applyBorder="1" applyAlignment="1">
      <alignment horizontal="center" vertical="center" wrapText="1"/>
    </xf>
    <xf numFmtId="166" fontId="33" fillId="4" borderId="27" xfId="10" applyNumberFormat="1" applyFont="1" applyFill="1" applyBorder="1" applyAlignment="1">
      <alignment horizontal="center" vertical="center" wrapText="1"/>
    </xf>
    <xf numFmtId="166" fontId="33" fillId="4" borderId="34" xfId="10" applyNumberFormat="1" applyFont="1" applyFill="1" applyBorder="1" applyAlignment="1">
      <alignment horizontal="center" vertical="center" wrapText="1"/>
    </xf>
    <xf numFmtId="166" fontId="33" fillId="4" borderId="18" xfId="10" applyNumberFormat="1" applyFont="1" applyFill="1" applyBorder="1" applyAlignment="1">
      <alignment horizontal="center" vertical="center" wrapText="1"/>
    </xf>
    <xf numFmtId="0" fontId="0" fillId="4" borderId="27"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34" xfId="0" applyFill="1" applyBorder="1" applyAlignment="1">
      <alignment horizontal="center" vertical="center" wrapText="1"/>
    </xf>
    <xf numFmtId="177" fontId="33" fillId="44" borderId="96" xfId="10" applyNumberFormat="1" applyFont="1" applyFill="1" applyBorder="1" applyAlignment="1">
      <alignment horizontal="center" vertical="center" wrapText="1"/>
    </xf>
    <xf numFmtId="177" fontId="33" fillId="44" borderId="46" xfId="10" applyNumberFormat="1" applyFont="1" applyFill="1" applyBorder="1" applyAlignment="1">
      <alignment horizontal="center" vertical="center" wrapText="1"/>
    </xf>
    <xf numFmtId="177" fontId="33" fillId="44" borderId="97" xfId="10" applyNumberFormat="1" applyFont="1" applyFill="1" applyBorder="1" applyAlignment="1">
      <alignment horizontal="center" vertical="center" wrapText="1"/>
    </xf>
    <xf numFmtId="177" fontId="0" fillId="4" borderId="27" xfId="10" applyNumberFormat="1" applyFont="1" applyFill="1" applyBorder="1" applyAlignment="1">
      <alignment horizontal="center" vertical="center" wrapText="1"/>
    </xf>
    <xf numFmtId="177" fontId="0" fillId="4" borderId="34" xfId="10" applyNumberFormat="1" applyFont="1" applyFill="1" applyBorder="1" applyAlignment="1">
      <alignment horizontal="center" vertical="center" wrapText="1"/>
    </xf>
    <xf numFmtId="177" fontId="0" fillId="4" borderId="18" xfId="10" applyNumberFormat="1" applyFont="1" applyFill="1" applyBorder="1" applyAlignment="1">
      <alignment horizontal="center" vertical="center" wrapText="1"/>
    </xf>
    <xf numFmtId="0" fontId="50" fillId="0" borderId="0" xfId="12" applyFont="1" applyAlignment="1">
      <alignment horizontal="center" vertical="center" wrapText="1"/>
    </xf>
    <xf numFmtId="0" fontId="87" fillId="0" borderId="0" xfId="12" applyFont="1" applyAlignment="1">
      <alignment horizontal="center" vertical="center" wrapText="1"/>
    </xf>
    <xf numFmtId="0" fontId="51" fillId="0" borderId="70" xfId="12" applyFont="1" applyBorder="1" applyAlignment="1">
      <alignment horizontal="center" vertical="center"/>
    </xf>
    <xf numFmtId="0" fontId="51" fillId="0" borderId="65" xfId="12" applyFont="1" applyBorder="1" applyAlignment="1">
      <alignment horizontal="center" vertical="center"/>
    </xf>
    <xf numFmtId="0" fontId="51" fillId="0" borderId="66" xfId="12" applyFont="1" applyBorder="1" applyAlignment="1">
      <alignment horizontal="center" vertical="center"/>
    </xf>
    <xf numFmtId="0" fontId="51" fillId="0" borderId="5" xfId="12" applyFont="1" applyBorder="1" applyAlignment="1">
      <alignment horizontal="center" vertical="center"/>
    </xf>
    <xf numFmtId="0" fontId="47" fillId="0" borderId="0" xfId="12" applyFont="1" applyAlignment="1">
      <alignment horizontal="center" vertical="center"/>
    </xf>
    <xf numFmtId="0" fontId="49" fillId="0" borderId="0" xfId="12" applyFont="1" applyAlignment="1">
      <alignment horizontal="center" vertical="center" wrapText="1"/>
    </xf>
    <xf numFmtId="0" fontId="25" fillId="0" borderId="0" xfId="12" applyFont="1" applyAlignment="1">
      <alignment horizontal="center" vertical="center" wrapText="1"/>
    </xf>
    <xf numFmtId="0" fontId="1" fillId="0" borderId="0" xfId="12" applyFont="1" applyAlignment="1">
      <alignment horizontal="center" wrapText="1"/>
    </xf>
    <xf numFmtId="0" fontId="25" fillId="0" borderId="61" xfId="12" applyFont="1" applyBorder="1" applyAlignment="1">
      <alignment horizontal="center" vertical="center" wrapText="1"/>
    </xf>
    <xf numFmtId="0" fontId="71" fillId="0" borderId="0" xfId="12" applyFont="1" applyAlignment="1">
      <alignment horizontal="center" vertical="center" wrapText="1"/>
    </xf>
    <xf numFmtId="0" fontId="71" fillId="0" borderId="5" xfId="12" applyFont="1" applyBorder="1" applyAlignment="1">
      <alignment horizontal="center" vertical="center" wrapText="1"/>
    </xf>
    <xf numFmtId="0" fontId="25" fillId="7" borderId="0" xfId="12" applyFont="1" applyFill="1" applyAlignment="1">
      <alignment horizontal="center" vertical="center" wrapText="1"/>
    </xf>
    <xf numFmtId="0" fontId="25" fillId="0" borderId="78" xfId="12" applyFont="1" applyBorder="1" applyAlignment="1">
      <alignment horizontal="center" vertical="center" wrapText="1"/>
    </xf>
    <xf numFmtId="0" fontId="25" fillId="0" borderId="11" xfId="12" applyFont="1" applyBorder="1" applyAlignment="1">
      <alignment horizontal="center" vertical="center" wrapText="1"/>
    </xf>
    <xf numFmtId="0" fontId="25" fillId="0" borderId="14" xfId="12" applyFont="1" applyBorder="1" applyAlignment="1">
      <alignment horizontal="center" vertical="center" wrapText="1"/>
    </xf>
    <xf numFmtId="0" fontId="25" fillId="0" borderId="8" xfId="12" applyFont="1" applyBorder="1" applyAlignment="1">
      <alignment horizontal="center" vertical="center" wrapText="1"/>
    </xf>
    <xf numFmtId="0" fontId="51" fillId="0" borderId="67" xfId="12" applyFont="1" applyBorder="1" applyAlignment="1">
      <alignment horizontal="center" vertical="center"/>
    </xf>
    <xf numFmtId="0" fontId="83" fillId="0" borderId="59" xfId="12" applyFont="1" applyBorder="1" applyAlignment="1">
      <alignment horizontal="center" vertical="center" wrapText="1"/>
    </xf>
    <xf numFmtId="0" fontId="83" fillId="0" borderId="5" xfId="12" applyFont="1" applyBorder="1" applyAlignment="1">
      <alignment horizontal="center" vertical="center" wrapText="1"/>
    </xf>
    <xf numFmtId="0" fontId="83" fillId="0" borderId="61" xfId="12" applyFont="1" applyBorder="1" applyAlignment="1">
      <alignment horizontal="center" vertical="center" wrapText="1"/>
    </xf>
    <xf numFmtId="0" fontId="51" fillId="0" borderId="77" xfId="12" applyFont="1" applyBorder="1" applyAlignment="1">
      <alignment horizontal="center" vertical="center"/>
    </xf>
    <xf numFmtId="0" fontId="91" fillId="0" borderId="59" xfId="12" applyFont="1" applyBorder="1" applyAlignment="1">
      <alignment horizontal="center" vertical="center" wrapText="1"/>
    </xf>
    <xf numFmtId="0" fontId="25" fillId="0" borderId="36" xfId="12" applyFont="1" applyBorder="1" applyAlignment="1">
      <alignment horizontal="center" vertical="center" wrapText="1"/>
    </xf>
    <xf numFmtId="0" fontId="25" fillId="0" borderId="38" xfId="12" applyFont="1" applyBorder="1" applyAlignment="1">
      <alignment horizontal="center" vertical="center" wrapText="1"/>
    </xf>
    <xf numFmtId="0" fontId="25" fillId="0" borderId="79" xfId="12" applyFont="1" applyBorder="1" applyAlignment="1">
      <alignment horizontal="center" vertical="center" wrapText="1"/>
    </xf>
    <xf numFmtId="0" fontId="25" fillId="0" borderId="81" xfId="12" applyFont="1" applyBorder="1" applyAlignment="1">
      <alignment horizontal="center" vertical="center" wrapText="1"/>
    </xf>
    <xf numFmtId="0" fontId="92" fillId="0" borderId="58" xfId="12" applyFont="1" applyBorder="1" applyAlignment="1">
      <alignment horizontal="center" vertical="center"/>
    </xf>
    <xf numFmtId="0" fontId="92" fillId="0" borderId="37" xfId="12" applyFont="1" applyBorder="1" applyAlignment="1">
      <alignment horizontal="center" vertical="center"/>
    </xf>
    <xf numFmtId="0" fontId="92" fillId="0" borderId="39" xfId="12" applyFont="1" applyBorder="1" applyAlignment="1">
      <alignment horizontal="center" vertical="center"/>
    </xf>
    <xf numFmtId="0" fontId="25" fillId="0" borderId="13" xfId="12" applyFont="1" applyBorder="1" applyAlignment="1">
      <alignment horizontal="center" vertical="center" wrapText="1"/>
    </xf>
    <xf numFmtId="0" fontId="93" fillId="0" borderId="5" xfId="12" applyFont="1" applyBorder="1" applyAlignment="1">
      <alignment horizontal="center" vertical="center" wrapText="1"/>
    </xf>
    <xf numFmtId="0" fontId="93" fillId="0" borderId="61" xfId="12" applyFont="1" applyBorder="1" applyAlignment="1">
      <alignment horizontal="center" vertical="center" wrapText="1"/>
    </xf>
    <xf numFmtId="0" fontId="49" fillId="0" borderId="58" xfId="12" applyFont="1" applyBorder="1" applyAlignment="1">
      <alignment horizontal="center" vertical="center" wrapText="1"/>
    </xf>
    <xf numFmtId="0" fontId="49" fillId="0" borderId="64" xfId="12" applyFont="1" applyBorder="1" applyAlignment="1">
      <alignment horizontal="center" vertical="center" wrapText="1"/>
    </xf>
    <xf numFmtId="0" fontId="49" fillId="0" borderId="81" xfId="12" applyFont="1" applyBorder="1" applyAlignment="1">
      <alignment horizontal="center" vertical="center" wrapText="1"/>
    </xf>
    <xf numFmtId="0" fontId="47" fillId="0" borderId="11" xfId="12" applyFont="1" applyBorder="1" applyAlignment="1">
      <alignment horizontal="center" vertical="center"/>
    </xf>
    <xf numFmtId="0" fontId="49" fillId="0" borderId="11" xfId="12" applyFont="1" applyBorder="1" applyAlignment="1">
      <alignment horizontal="center" vertical="center" wrapText="1"/>
    </xf>
    <xf numFmtId="0" fontId="107" fillId="0" borderId="0" xfId="0" applyFont="1" applyAlignment="1">
      <alignment horizontal="left" vertical="center" wrapText="1"/>
    </xf>
    <xf numFmtId="0" fontId="107" fillId="0" borderId="19" xfId="0" applyFont="1" applyBorder="1" applyAlignment="1">
      <alignment horizontal="left" vertical="center" wrapText="1"/>
    </xf>
    <xf numFmtId="0" fontId="108" fillId="0" borderId="46" xfId="0" applyFont="1" applyBorder="1" applyAlignment="1">
      <alignment horizontal="left" vertical="center" wrapText="1"/>
    </xf>
    <xf numFmtId="0" fontId="108" fillId="0" borderId="47" xfId="0" applyFont="1" applyBorder="1" applyAlignment="1">
      <alignment horizontal="left" vertical="center" wrapText="1"/>
    </xf>
    <xf numFmtId="0" fontId="71" fillId="0" borderId="12" xfId="12" applyFont="1" applyBorder="1" applyAlignment="1">
      <alignment horizontal="center" vertical="center" wrapText="1"/>
    </xf>
    <xf numFmtId="0" fontId="71" fillId="0" borderId="65" xfId="12" applyFont="1" applyBorder="1" applyAlignment="1">
      <alignment horizontal="center" vertical="center" wrapText="1"/>
    </xf>
    <xf numFmtId="0" fontId="50" fillId="0" borderId="11" xfId="12" applyFont="1" applyBorder="1" applyAlignment="1">
      <alignment horizontal="center" vertical="center" wrapText="1"/>
    </xf>
    <xf numFmtId="0" fontId="17" fillId="0" borderId="0" xfId="0" applyFont="1" applyAlignment="1">
      <alignment horizontal="center"/>
    </xf>
    <xf numFmtId="0" fontId="26" fillId="10" borderId="11" xfId="12" applyFont="1" applyFill="1" applyBorder="1" applyAlignment="1">
      <alignment horizontal="left" vertical="center" wrapText="1"/>
    </xf>
    <xf numFmtId="0" fontId="26" fillId="10" borderId="0" xfId="12" applyFont="1" applyFill="1" applyAlignment="1">
      <alignment horizontal="left" vertical="center" wrapText="1"/>
    </xf>
    <xf numFmtId="0" fontId="23" fillId="0" borderId="0" xfId="0" applyFont="1" applyAlignment="1">
      <alignment horizontal="center"/>
    </xf>
    <xf numFmtId="0" fontId="23" fillId="0" borderId="0" xfId="0" applyFont="1" applyAlignment="1">
      <alignment horizontal="center" wrapText="1"/>
    </xf>
    <xf numFmtId="0" fontId="47" fillId="10" borderId="11" xfId="12" applyFont="1" applyFill="1" applyBorder="1" applyAlignment="1">
      <alignment horizontal="left" vertical="center" wrapText="1"/>
    </xf>
    <xf numFmtId="0" fontId="47" fillId="10" borderId="0" xfId="12" applyFont="1" applyFill="1" applyAlignment="1">
      <alignment horizontal="left" vertical="center" wrapText="1"/>
    </xf>
    <xf numFmtId="0" fontId="53" fillId="10" borderId="0" xfId="12" applyFont="1" applyFill="1" applyAlignment="1">
      <alignment horizontal="left" vertical="center" wrapText="1"/>
    </xf>
    <xf numFmtId="0" fontId="17" fillId="0" borderId="86" xfId="0" applyFont="1" applyBorder="1" applyAlignment="1">
      <alignment horizontal="center"/>
    </xf>
    <xf numFmtId="0" fontId="20" fillId="0" borderId="6" xfId="11" applyBorder="1" applyAlignment="1">
      <alignment horizontal="center"/>
    </xf>
    <xf numFmtId="0" fontId="20" fillId="0" borderId="7" xfId="11" applyBorder="1" applyAlignment="1">
      <alignment horizontal="center"/>
    </xf>
    <xf numFmtId="0" fontId="20" fillId="0" borderId="17" xfId="11" applyBorder="1" applyAlignment="1">
      <alignment horizontal="center"/>
    </xf>
    <xf numFmtId="0" fontId="39" fillId="0" borderId="24" xfId="0" applyFont="1" applyBorder="1" applyAlignment="1">
      <alignment horizontal="left" vertical="top" wrapText="1"/>
    </xf>
    <xf numFmtId="0" fontId="39" fillId="0" borderId="25" xfId="0" applyFont="1" applyBorder="1" applyAlignment="1">
      <alignment horizontal="left" vertical="top" wrapText="1"/>
    </xf>
    <xf numFmtId="0" fontId="39" fillId="0" borderId="26" xfId="0" applyFont="1" applyBorder="1" applyAlignment="1">
      <alignment horizontal="left" vertical="top" wrapText="1"/>
    </xf>
    <xf numFmtId="2" fontId="43" fillId="0" borderId="24" xfId="0" applyNumberFormat="1" applyFont="1" applyBorder="1" applyAlignment="1">
      <alignment horizontal="right" vertical="top" shrinkToFit="1"/>
    </xf>
    <xf numFmtId="2" fontId="43" fillId="0" borderId="26" xfId="0" applyNumberFormat="1" applyFont="1" applyBorder="1" applyAlignment="1">
      <alignment horizontal="right" vertical="top" shrinkToFit="1"/>
    </xf>
    <xf numFmtId="0" fontId="39" fillId="0" borderId="48" xfId="0" applyFont="1" applyBorder="1" applyAlignment="1">
      <alignment horizontal="left" vertical="top" wrapText="1"/>
    </xf>
    <xf numFmtId="0" fontId="39" fillId="0" borderId="50" xfId="0" applyFont="1" applyBorder="1" applyAlignment="1">
      <alignment horizontal="left" vertical="top" wrapText="1"/>
    </xf>
    <xf numFmtId="0" fontId="39" fillId="0" borderId="52" xfId="0" applyFont="1" applyBorder="1" applyAlignment="1">
      <alignment horizontal="left" vertical="top" wrapText="1"/>
    </xf>
    <xf numFmtId="0" fontId="39" fillId="0" borderId="53" xfId="0" applyFont="1" applyBorder="1" applyAlignment="1">
      <alignment horizontal="left" vertical="top" wrapText="1"/>
    </xf>
    <xf numFmtId="0" fontId="39" fillId="0" borderId="55" xfId="0" applyFont="1" applyBorder="1" applyAlignment="1">
      <alignment horizontal="left" vertical="top" wrapText="1"/>
    </xf>
    <xf numFmtId="0" fontId="39" fillId="0" borderId="57" xfId="0" applyFont="1" applyBorder="1" applyAlignment="1">
      <alignment horizontal="left" vertical="top" wrapText="1"/>
    </xf>
    <xf numFmtId="0" fontId="39" fillId="0" borderId="48" xfId="0" applyFont="1" applyBorder="1" applyAlignment="1">
      <alignment horizontal="left" vertical="center" wrapText="1"/>
    </xf>
    <xf numFmtId="0" fontId="39" fillId="0" borderId="50" xfId="0" applyFont="1" applyBorder="1" applyAlignment="1">
      <alignment horizontal="left" vertical="center" wrapText="1"/>
    </xf>
    <xf numFmtId="0" fontId="39" fillId="0" borderId="52" xfId="0" applyFont="1" applyBorder="1" applyAlignment="1">
      <alignment horizontal="left" vertical="center" wrapText="1"/>
    </xf>
    <xf numFmtId="0" fontId="39" fillId="0" borderId="53" xfId="0" applyFont="1" applyBorder="1" applyAlignment="1">
      <alignment horizontal="left" vertical="center" wrapText="1"/>
    </xf>
    <xf numFmtId="0" fontId="39" fillId="0" borderId="55" xfId="0" applyFont="1" applyBorder="1" applyAlignment="1">
      <alignment horizontal="left" vertical="center" wrapText="1"/>
    </xf>
    <xf numFmtId="0" fontId="39" fillId="0" borderId="57" xfId="0" applyFont="1" applyBorder="1" applyAlignment="1">
      <alignment horizontal="left" vertical="center" wrapText="1"/>
    </xf>
    <xf numFmtId="1" fontId="43" fillId="0" borderId="24" xfId="0" applyNumberFormat="1" applyFont="1" applyBorder="1" applyAlignment="1">
      <alignment horizontal="right" vertical="top" shrinkToFit="1"/>
    </xf>
    <xf numFmtId="1" fontId="43" fillId="0" borderId="26" xfId="0" applyNumberFormat="1" applyFont="1" applyBorder="1" applyAlignment="1">
      <alignment horizontal="right" vertical="top" shrinkToFit="1"/>
    </xf>
    <xf numFmtId="2" fontId="40" fillId="0" borderId="24" xfId="0" applyNumberFormat="1" applyFont="1" applyBorder="1" applyAlignment="1">
      <alignment horizontal="right" vertical="top" shrinkToFit="1"/>
    </xf>
    <xf numFmtId="2" fontId="40" fillId="0" borderId="26" xfId="0" applyNumberFormat="1" applyFont="1" applyBorder="1" applyAlignment="1">
      <alignment horizontal="right" vertical="top" shrinkToFit="1"/>
    </xf>
    <xf numFmtId="1" fontId="40" fillId="0" borderId="24" xfId="0" applyNumberFormat="1" applyFont="1" applyBorder="1" applyAlignment="1">
      <alignment horizontal="right" vertical="top" shrinkToFit="1"/>
    </xf>
    <xf numFmtId="1" fontId="40" fillId="0" borderId="26" xfId="0" applyNumberFormat="1" applyFont="1" applyBorder="1" applyAlignment="1">
      <alignment horizontal="right" vertical="top" shrinkToFit="1"/>
    </xf>
    <xf numFmtId="0" fontId="37" fillId="17" borderId="24" xfId="0" applyFont="1" applyFill="1" applyBorder="1" applyAlignment="1">
      <alignment horizontal="left" vertical="top" wrapText="1" indent="3"/>
    </xf>
    <xf numFmtId="0" fontId="37" fillId="17" borderId="26" xfId="0" applyFont="1" applyFill="1" applyBorder="1" applyAlignment="1">
      <alignment horizontal="left" vertical="top" wrapText="1" indent="3"/>
    </xf>
    <xf numFmtId="0" fontId="37" fillId="17" borderId="24" xfId="0" applyFont="1" applyFill="1" applyBorder="1" applyAlignment="1">
      <alignment horizontal="center" vertical="top" wrapText="1"/>
    </xf>
    <xf numFmtId="0" fontId="37" fillId="17" borderId="25" xfId="0" applyFont="1" applyFill="1" applyBorder="1" applyAlignment="1">
      <alignment horizontal="center" vertical="top" wrapText="1"/>
    </xf>
    <xf numFmtId="0" fontId="37" fillId="17" borderId="26" xfId="0" applyFont="1" applyFill="1" applyBorder="1" applyAlignment="1">
      <alignment horizontal="center" vertical="top" wrapText="1"/>
    </xf>
    <xf numFmtId="0" fontId="38" fillId="17" borderId="24" xfId="0" applyFont="1" applyFill="1" applyBorder="1" applyAlignment="1">
      <alignment horizontal="left" vertical="top" wrapText="1" indent="1"/>
    </xf>
    <xf numFmtId="0" fontId="38" fillId="17" borderId="26" xfId="0" applyFont="1" applyFill="1" applyBorder="1" applyAlignment="1">
      <alignment horizontal="left" vertical="top" wrapText="1" indent="1"/>
    </xf>
    <xf numFmtId="0" fontId="38" fillId="17" borderId="24" xfId="0" applyFont="1" applyFill="1" applyBorder="1" applyAlignment="1">
      <alignment horizontal="left" wrapText="1"/>
    </xf>
    <xf numFmtId="0" fontId="38" fillId="17" borderId="26" xfId="0" applyFont="1" applyFill="1" applyBorder="1" applyAlignment="1">
      <alignment horizontal="left" wrapText="1"/>
    </xf>
    <xf numFmtId="168" fontId="43" fillId="0" borderId="24" xfId="0" applyNumberFormat="1" applyFont="1" applyBorder="1" applyAlignment="1">
      <alignment horizontal="right" vertical="top" shrinkToFit="1"/>
    </xf>
    <xf numFmtId="168" fontId="43" fillId="0" borderId="26" xfId="0" applyNumberFormat="1" applyFont="1" applyBorder="1" applyAlignment="1">
      <alignment horizontal="right" vertical="top" shrinkToFit="1"/>
    </xf>
    <xf numFmtId="168" fontId="40" fillId="0" borderId="24" xfId="0" applyNumberFormat="1" applyFont="1" applyBorder="1" applyAlignment="1">
      <alignment horizontal="right" vertical="top" shrinkToFit="1"/>
    </xf>
    <xf numFmtId="168" fontId="40" fillId="0" borderId="26" xfId="0" applyNumberFormat="1" applyFont="1" applyBorder="1" applyAlignment="1">
      <alignment horizontal="right" vertical="top" shrinkToFit="1"/>
    </xf>
    <xf numFmtId="0" fontId="38" fillId="0" borderId="52" xfId="0" applyFont="1" applyBorder="1" applyAlignment="1">
      <alignment horizontal="left" vertical="top" wrapText="1"/>
    </xf>
    <xf numFmtId="0" fontId="39" fillId="0" borderId="49" xfId="0" applyFont="1" applyBorder="1" applyAlignment="1">
      <alignment horizontal="left" vertical="top" wrapText="1"/>
    </xf>
    <xf numFmtId="0" fontId="39" fillId="0" borderId="56" xfId="0" applyFont="1" applyBorder="1" applyAlignment="1">
      <alignment horizontal="left" vertical="top" wrapText="1"/>
    </xf>
    <xf numFmtId="0" fontId="39" fillId="0" borderId="49" xfId="0" applyFont="1" applyBorder="1" applyAlignment="1">
      <alignment horizontal="left" vertical="center" wrapText="1"/>
    </xf>
    <xf numFmtId="0" fontId="39" fillId="0" borderId="0" xfId="0" applyFont="1" applyAlignment="1">
      <alignment horizontal="left" vertical="center" wrapText="1"/>
    </xf>
    <xf numFmtId="0" fontId="39" fillId="0" borderId="56" xfId="0" applyFont="1" applyBorder="1" applyAlignment="1">
      <alignment horizontal="left" vertical="center" wrapText="1"/>
    </xf>
    <xf numFmtId="0" fontId="37" fillId="17" borderId="24" xfId="0" applyFont="1" applyFill="1" applyBorder="1" applyAlignment="1">
      <alignment horizontal="left" vertical="top" wrapText="1" indent="1"/>
    </xf>
    <xf numFmtId="0" fontId="37" fillId="17" borderId="26" xfId="0" applyFont="1" applyFill="1" applyBorder="1" applyAlignment="1">
      <alignment horizontal="left" vertical="top" wrapText="1" indent="1"/>
    </xf>
    <xf numFmtId="1" fontId="40" fillId="0" borderId="24" xfId="0" applyNumberFormat="1" applyFont="1" applyBorder="1" applyAlignment="1">
      <alignment horizontal="left" vertical="top" shrinkToFit="1"/>
    </xf>
    <xf numFmtId="1" fontId="40" fillId="0" borderId="25" xfId="0" applyNumberFormat="1" applyFont="1" applyBorder="1" applyAlignment="1">
      <alignment horizontal="left" vertical="top" shrinkToFit="1"/>
    </xf>
    <xf numFmtId="1" fontId="40" fillId="0" borderId="26" xfId="0" applyNumberFormat="1" applyFont="1" applyBorder="1" applyAlignment="1">
      <alignment horizontal="left" vertical="top" shrinkToFit="1"/>
    </xf>
    <xf numFmtId="0" fontId="38" fillId="0" borderId="52" xfId="0" applyFont="1" applyBorder="1" applyAlignment="1">
      <alignment horizontal="left" wrapText="1"/>
    </xf>
    <xf numFmtId="0" fontId="38" fillId="0" borderId="53" xfId="0" applyFont="1" applyBorder="1" applyAlignment="1">
      <alignment horizontal="left" wrapText="1"/>
    </xf>
    <xf numFmtId="0" fontId="38" fillId="0" borderId="55" xfId="0" applyFont="1" applyBorder="1" applyAlignment="1">
      <alignment horizontal="left" wrapText="1"/>
    </xf>
    <xf numFmtId="0" fontId="38" fillId="0" borderId="57" xfId="0" applyFont="1" applyBorder="1" applyAlignment="1">
      <alignment horizontal="left" wrapText="1"/>
    </xf>
    <xf numFmtId="0" fontId="39" fillId="0" borderId="52" xfId="0" applyFont="1" applyBorder="1" applyAlignment="1">
      <alignment horizontal="right" vertical="top" wrapText="1" indent="2"/>
    </xf>
    <xf numFmtId="0" fontId="39" fillId="0" borderId="53" xfId="0" applyFont="1" applyBorder="1" applyAlignment="1">
      <alignment horizontal="right" vertical="top" wrapText="1" indent="2"/>
    </xf>
    <xf numFmtId="0" fontId="39" fillId="0" borderId="48" xfId="0" applyFont="1" applyBorder="1" applyAlignment="1">
      <alignment horizontal="right" vertical="top" wrapText="1" indent="3"/>
    </xf>
    <xf numFmtId="0" fontId="39" fillId="0" borderId="50" xfId="0" applyFont="1" applyBorder="1" applyAlignment="1">
      <alignment horizontal="right" vertical="top" wrapText="1" indent="3"/>
    </xf>
    <xf numFmtId="0" fontId="39" fillId="0" borderId="24" xfId="0" applyFont="1" applyBorder="1" applyAlignment="1">
      <alignment horizontal="left" vertical="top" wrapText="1" indent="2"/>
    </xf>
    <xf numFmtId="0" fontId="39" fillId="0" borderId="26" xfId="0" applyFont="1" applyBorder="1" applyAlignment="1">
      <alignment horizontal="left" vertical="top" wrapText="1" indent="2"/>
    </xf>
    <xf numFmtId="0" fontId="37" fillId="17" borderId="24" xfId="0" applyFont="1" applyFill="1" applyBorder="1" applyAlignment="1">
      <alignment horizontal="right" vertical="top" wrapText="1" indent="3"/>
    </xf>
    <xf numFmtId="0" fontId="37" fillId="17" borderId="26" xfId="0" applyFont="1" applyFill="1" applyBorder="1" applyAlignment="1">
      <alignment horizontal="right" vertical="top" wrapText="1" indent="3"/>
    </xf>
    <xf numFmtId="0" fontId="38" fillId="14" borderId="24" xfId="0" applyFont="1" applyFill="1" applyBorder="1" applyAlignment="1">
      <alignment horizontal="center" vertical="top" wrapText="1"/>
    </xf>
    <xf numFmtId="0" fontId="38" fillId="14" borderId="25" xfId="0" applyFont="1" applyFill="1" applyBorder="1" applyAlignment="1">
      <alignment horizontal="center" vertical="top" wrapText="1"/>
    </xf>
    <xf numFmtId="0" fontId="37" fillId="20" borderId="24" xfId="0" applyFont="1" applyFill="1" applyBorder="1" applyAlignment="1">
      <alignment horizontal="center" vertical="top" wrapText="1"/>
    </xf>
    <xf numFmtId="0" fontId="37" fillId="20" borderId="26" xfId="0" applyFont="1" applyFill="1" applyBorder="1" applyAlignment="1">
      <alignment horizontal="center" vertical="top" wrapText="1"/>
    </xf>
    <xf numFmtId="0" fontId="37" fillId="20" borderId="24" xfId="0" applyFont="1" applyFill="1" applyBorder="1" applyAlignment="1">
      <alignment horizontal="left" vertical="top" wrapText="1" indent="2"/>
    </xf>
    <xf numFmtId="0" fontId="37" fillId="20" borderId="25" xfId="0" applyFont="1" applyFill="1" applyBorder="1" applyAlignment="1">
      <alignment horizontal="left" vertical="top" wrapText="1" indent="2"/>
    </xf>
    <xf numFmtId="0" fontId="38" fillId="17" borderId="51" xfId="0" applyFont="1" applyFill="1" applyBorder="1" applyAlignment="1">
      <alignment horizontal="left" vertical="top" wrapText="1"/>
    </xf>
    <xf numFmtId="0" fontId="38" fillId="17" borderId="54" xfId="0" applyFont="1" applyFill="1" applyBorder="1" applyAlignment="1">
      <alignment horizontal="left" vertical="top" wrapText="1"/>
    </xf>
    <xf numFmtId="0" fontId="38" fillId="17" borderId="52" xfId="0" applyFont="1" applyFill="1" applyBorder="1" applyAlignment="1">
      <alignment horizontal="left" vertical="top" wrapText="1"/>
    </xf>
    <xf numFmtId="0" fontId="38" fillId="17" borderId="0" xfId="0" applyFont="1" applyFill="1" applyAlignment="1">
      <alignment horizontal="left" vertical="top" wrapText="1"/>
    </xf>
    <xf numFmtId="0" fontId="38" fillId="17" borderId="53" xfId="0" applyFont="1" applyFill="1" applyBorder="1" applyAlignment="1">
      <alignment horizontal="left" vertical="top" wrapText="1"/>
    </xf>
    <xf numFmtId="0" fontId="38" fillId="17" borderId="55" xfId="0" applyFont="1" applyFill="1" applyBorder="1" applyAlignment="1">
      <alignment horizontal="left" vertical="top" wrapText="1"/>
    </xf>
    <xf numFmtId="0" fontId="38" fillId="17" borderId="56" xfId="0" applyFont="1" applyFill="1" applyBorder="1" applyAlignment="1">
      <alignment horizontal="left" vertical="top" wrapText="1"/>
    </xf>
    <xf numFmtId="0" fontId="38" fillId="17" borderId="57" xfId="0" applyFont="1" applyFill="1" applyBorder="1" applyAlignment="1">
      <alignment horizontal="left" vertical="top" wrapText="1"/>
    </xf>
    <xf numFmtId="0" fontId="38" fillId="15" borderId="24" xfId="0" applyFont="1" applyFill="1" applyBorder="1" applyAlignment="1">
      <alignment horizontal="center" vertical="top" wrapText="1"/>
    </xf>
    <xf numFmtId="0" fontId="38" fillId="15" borderId="26" xfId="0" applyFont="1" applyFill="1" applyBorder="1" applyAlignment="1">
      <alignment horizontal="center" vertical="top" wrapText="1"/>
    </xf>
    <xf numFmtId="0" fontId="38" fillId="17" borderId="48" xfId="0" applyFont="1" applyFill="1" applyBorder="1" applyAlignment="1">
      <alignment horizontal="left" vertical="center" wrapText="1"/>
    </xf>
    <xf numFmtId="0" fontId="38" fillId="17" borderId="49" xfId="0" applyFont="1" applyFill="1" applyBorder="1" applyAlignment="1">
      <alignment horizontal="left" vertical="center" wrapText="1"/>
    </xf>
    <xf numFmtId="0" fontId="38" fillId="17" borderId="50" xfId="0" applyFont="1" applyFill="1" applyBorder="1" applyAlignment="1">
      <alignment horizontal="left" vertical="center" wrapText="1"/>
    </xf>
    <xf numFmtId="0" fontId="37" fillId="15" borderId="24" xfId="0" applyFont="1" applyFill="1" applyBorder="1" applyAlignment="1">
      <alignment horizontal="left" vertical="top" wrapText="1" indent="2"/>
    </xf>
    <xf numFmtId="0" fontId="37" fillId="15" borderId="26" xfId="0" applyFont="1" applyFill="1" applyBorder="1" applyAlignment="1">
      <alignment horizontal="left" vertical="top" wrapText="1" indent="2"/>
    </xf>
    <xf numFmtId="0" fontId="38" fillId="17" borderId="25" xfId="0" applyFont="1" applyFill="1" applyBorder="1" applyAlignment="1">
      <alignment horizontal="left" wrapText="1"/>
    </xf>
    <xf numFmtId="0" fontId="0" fillId="19" borderId="42" xfId="0" applyFill="1" applyBorder="1" applyAlignment="1">
      <alignment horizontal="center"/>
    </xf>
    <xf numFmtId="0" fontId="0" fillId="19" borderId="43" xfId="0" applyFill="1" applyBorder="1" applyAlignment="1">
      <alignment horizontal="center"/>
    </xf>
    <xf numFmtId="0" fontId="0" fillId="19" borderId="44" xfId="0" applyFill="1" applyBorder="1" applyAlignment="1">
      <alignment horizontal="center"/>
    </xf>
    <xf numFmtId="0" fontId="37" fillId="15" borderId="24" xfId="0" applyFont="1" applyFill="1" applyBorder="1" applyAlignment="1">
      <alignment horizontal="left" vertical="top" wrapText="1" indent="1"/>
    </xf>
    <xf numFmtId="0" fontId="37" fillId="15" borderId="26" xfId="0" applyFont="1" applyFill="1" applyBorder="1" applyAlignment="1">
      <alignment horizontal="left" vertical="top" wrapText="1" indent="1"/>
    </xf>
    <xf numFmtId="0" fontId="24" fillId="0" borderId="0" xfId="0" applyFont="1" applyAlignment="1">
      <alignment horizontal="center"/>
    </xf>
    <xf numFmtId="0" fontId="28" fillId="14" borderId="24" xfId="0" applyFont="1" applyFill="1" applyBorder="1" applyAlignment="1">
      <alignment horizontal="left" vertical="top" wrapText="1"/>
    </xf>
    <xf numFmtId="0" fontId="28" fillId="14" borderId="25" xfId="0" applyFont="1" applyFill="1" applyBorder="1" applyAlignment="1">
      <alignment horizontal="left" vertical="top" wrapText="1"/>
    </xf>
    <xf numFmtId="0" fontId="28" fillId="14" borderId="26" xfId="0" applyFont="1" applyFill="1" applyBorder="1" applyAlignment="1">
      <alignment horizontal="left" vertical="top" wrapText="1"/>
    </xf>
    <xf numFmtId="0" fontId="24" fillId="8" borderId="28" xfId="0" applyFont="1" applyFill="1" applyBorder="1" applyAlignment="1">
      <alignment horizontal="center"/>
    </xf>
    <xf numFmtId="0" fontId="24" fillId="8" borderId="29" xfId="0" applyFont="1" applyFill="1" applyBorder="1" applyAlignment="1">
      <alignment horizontal="center"/>
    </xf>
    <xf numFmtId="0" fontId="24" fillId="8" borderId="30" xfId="0" applyFont="1" applyFill="1" applyBorder="1" applyAlignment="1">
      <alignment horizontal="center"/>
    </xf>
    <xf numFmtId="0" fontId="24" fillId="8" borderId="31" xfId="0" applyFont="1" applyFill="1" applyBorder="1" applyAlignment="1">
      <alignment horizontal="center"/>
    </xf>
    <xf numFmtId="0" fontId="24" fillId="8" borderId="32" xfId="0" applyFont="1" applyFill="1" applyBorder="1" applyAlignment="1">
      <alignment horizontal="center"/>
    </xf>
    <xf numFmtId="0" fontId="24" fillId="8" borderId="33" xfId="0" applyFont="1" applyFill="1" applyBorder="1" applyAlignment="1">
      <alignment horizontal="center"/>
    </xf>
    <xf numFmtId="0" fontId="33" fillId="0" borderId="24" xfId="0" applyFont="1" applyBorder="1" applyAlignment="1">
      <alignment horizontal="left" vertical="top" wrapText="1"/>
    </xf>
    <xf numFmtId="0" fontId="33" fillId="0" borderId="26" xfId="0" applyFont="1" applyBorder="1" applyAlignment="1">
      <alignment horizontal="left" vertical="top" wrapText="1"/>
    </xf>
    <xf numFmtId="0" fontId="28" fillId="15" borderId="24" xfId="0" applyFont="1" applyFill="1" applyBorder="1" applyAlignment="1">
      <alignment horizontal="center" vertical="top" wrapText="1"/>
    </xf>
    <xf numFmtId="0" fontId="28" fillId="15" borderId="26" xfId="0" applyFont="1" applyFill="1" applyBorder="1" applyAlignment="1">
      <alignment horizontal="center" vertical="top" wrapText="1"/>
    </xf>
    <xf numFmtId="0" fontId="30" fillId="17" borderId="24" xfId="0" applyFont="1" applyFill="1" applyBorder="1" applyAlignment="1">
      <alignment horizontal="left" wrapText="1"/>
    </xf>
    <xf numFmtId="0" fontId="30" fillId="17" borderId="25" xfId="0" applyFont="1" applyFill="1" applyBorder="1" applyAlignment="1">
      <alignment horizontal="left" wrapText="1"/>
    </xf>
    <xf numFmtId="0" fontId="30" fillId="17" borderId="26" xfId="0" applyFont="1" applyFill="1" applyBorder="1" applyAlignment="1">
      <alignment horizontal="left" wrapText="1"/>
    </xf>
    <xf numFmtId="0" fontId="35" fillId="0" borderId="24" xfId="0" applyFont="1" applyBorder="1" applyAlignment="1">
      <alignment horizontal="left" vertical="top" wrapText="1"/>
    </xf>
    <xf numFmtId="0" fontId="35" fillId="0" borderId="26" xfId="0" applyFont="1" applyBorder="1" applyAlignment="1">
      <alignment horizontal="left" vertical="top" wrapText="1"/>
    </xf>
    <xf numFmtId="0" fontId="30" fillId="17" borderId="24" xfId="0" applyFont="1" applyFill="1" applyBorder="1" applyAlignment="1">
      <alignment horizontal="left" vertical="center" wrapText="1"/>
    </xf>
    <xf numFmtId="0" fontId="30" fillId="17" borderId="26" xfId="0" applyFont="1" applyFill="1" applyBorder="1" applyAlignment="1">
      <alignment horizontal="left" vertical="center" wrapText="1"/>
    </xf>
    <xf numFmtId="0" fontId="32" fillId="15" borderId="24" xfId="0" applyFont="1" applyFill="1" applyBorder="1" applyAlignment="1">
      <alignment horizontal="left" vertical="top" wrapText="1" indent="2"/>
    </xf>
    <xf numFmtId="0" fontId="32" fillId="15" borderId="26" xfId="0" applyFont="1" applyFill="1" applyBorder="1" applyAlignment="1">
      <alignment horizontal="left" vertical="top" wrapText="1" indent="2"/>
    </xf>
    <xf numFmtId="0" fontId="0" fillId="17" borderId="24" xfId="0" applyFill="1" applyBorder="1" applyAlignment="1">
      <alignment horizontal="left" wrapText="1"/>
    </xf>
    <xf numFmtId="0" fontId="0" fillId="17" borderId="25" xfId="0" applyFill="1" applyBorder="1" applyAlignment="1">
      <alignment horizontal="left" wrapText="1"/>
    </xf>
    <xf numFmtId="0" fontId="0" fillId="17" borderId="26" xfId="0" applyFill="1" applyBorder="1" applyAlignment="1">
      <alignment horizontal="left"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left" vertical="center" wrapText="1"/>
    </xf>
    <xf numFmtId="0" fontId="0" fillId="9" borderId="8" xfId="0" applyFill="1" applyBorder="1" applyAlignment="1">
      <alignment horizontal="left" vertical="center" wrapText="1"/>
    </xf>
    <xf numFmtId="0" fontId="0" fillId="9" borderId="11" xfId="0" applyFill="1" applyBorder="1" applyAlignment="1">
      <alignment horizontal="left" vertical="center" wrapText="1"/>
    </xf>
    <xf numFmtId="0" fontId="0" fillId="9" borderId="11" xfId="0" applyFill="1" applyBorder="1" applyAlignment="1">
      <alignment horizontal="center" vertical="center" wrapText="1"/>
    </xf>
    <xf numFmtId="0" fontId="0" fillId="9" borderId="14" xfId="0" applyFill="1" applyBorder="1" applyAlignment="1">
      <alignment horizontal="center" vertical="center" wrapText="1"/>
    </xf>
  </cellXfs>
  <cellStyles count="16">
    <cellStyle name="Comma" xfId="9" builtinId="3"/>
    <cellStyle name="Comma 2" xfId="14" xr:uid="{18511030-CB90-44D8-97F8-AB6B2D48DA7B}"/>
    <cellStyle name="Currency" xfId="15" builtinId="4"/>
    <cellStyle name="Heading 1" xfId="4" builtinId="16" customBuiltin="1"/>
    <cellStyle name="Heading 2" xfId="5" builtinId="17" customBuiltin="1"/>
    <cellStyle name="Heading 3" xfId="6" builtinId="18" customBuiltin="1"/>
    <cellStyle name="Heading 4" xfId="7" builtinId="19" customBuiltin="1"/>
    <cellStyle name="Hyperlink" xfId="11" builtinId="8"/>
    <cellStyle name="Normal" xfId="0" builtinId="0" customBuiltin="1"/>
    <cellStyle name="Normal 2" xfId="1" xr:uid="{3BC9F2CF-8901-4C70-95BB-124ECC97EC00}"/>
    <cellStyle name="Normal 2 2" xfId="2" xr:uid="{56E6692E-1E4C-4661-A89E-345772A97718}"/>
    <cellStyle name="Normal 3" xfId="12" xr:uid="{7FDE552A-523D-49A1-9675-6B06A9C49D50}"/>
    <cellStyle name="Percent" xfId="10" builtinId="5"/>
    <cellStyle name="Percent 2" xfId="13" xr:uid="{287182F0-5699-4AA7-8BFB-6A2CDE5F8762}"/>
    <cellStyle name="Title" xfId="3" builtinId="15" customBuiltin="1"/>
    <cellStyle name="Total" xfId="8" builtinId="25" customBuiltin="1"/>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2000" b="1"/>
              <a:t>Tribal GHG</a:t>
            </a:r>
            <a:r>
              <a:rPr lang="en-US" sz="2000" b="1" baseline="0"/>
              <a:t> Emissions</a:t>
            </a:r>
            <a:endParaRPr lang="en-US" sz="2000" b="1"/>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3979672404580465"/>
          <c:y val="0.16179266657634972"/>
          <c:w val="0.83099977637218081"/>
          <c:h val="0.51295466101232146"/>
        </c:manualLayout>
      </c:layout>
      <c:barChart>
        <c:barDir val="col"/>
        <c:grouping val="stacked"/>
        <c:varyColors val="0"/>
        <c:ser>
          <c:idx val="0"/>
          <c:order val="0"/>
          <c:tx>
            <c:v>Fuel / Scope 1</c:v>
          </c:tx>
          <c:spPr>
            <a:solidFill>
              <a:schemeClr val="accent1"/>
            </a:solidFill>
            <a:ln>
              <a:noFill/>
            </a:ln>
            <a:effectLst/>
          </c:spPr>
          <c:invertIfNegative val="0"/>
          <c:cat>
            <c:strRef>
              <c:f>'Tool Reference'!$A$5:$A$5</c:f>
              <c:strCache>
                <c:ptCount val="1"/>
                <c:pt idx="0">
                  <c:v>Type Name Here</c:v>
                </c:pt>
              </c:strCache>
            </c:strRef>
          </c:cat>
          <c:val>
            <c:numRef>
              <c:f>'Tool Reference'!$B$5:$B$5</c:f>
              <c:numCache>
                <c:formatCode>0</c:formatCode>
                <c:ptCount val="1"/>
                <c:pt idx="0">
                  <c:v>0</c:v>
                </c:pt>
              </c:numCache>
            </c:numRef>
          </c:val>
          <c:extLst>
            <c:ext xmlns:c16="http://schemas.microsoft.com/office/drawing/2014/chart" uri="{C3380CC4-5D6E-409C-BE32-E72D297353CC}">
              <c16:uniqueId val="{00000000-DB8B-4E8E-BF1D-DEE45ECBEC0B}"/>
            </c:ext>
          </c:extLst>
        </c:ser>
        <c:ser>
          <c:idx val="1"/>
          <c:order val="1"/>
          <c:tx>
            <c:v>Electricity / Scope 2</c:v>
          </c:tx>
          <c:spPr>
            <a:solidFill>
              <a:schemeClr val="accent2"/>
            </a:solidFill>
            <a:ln>
              <a:noFill/>
            </a:ln>
            <a:effectLst/>
          </c:spPr>
          <c:invertIfNegative val="0"/>
          <c:cat>
            <c:strRef>
              <c:f>'Tool Reference'!$A$5:$A$5</c:f>
              <c:strCache>
                <c:ptCount val="1"/>
                <c:pt idx="0">
                  <c:v>Type Name Here</c:v>
                </c:pt>
              </c:strCache>
            </c:strRef>
          </c:cat>
          <c:val>
            <c:numRef>
              <c:f>'Tool Reference'!$D$5:$D$5</c:f>
              <c:numCache>
                <c:formatCode>0</c:formatCode>
                <c:ptCount val="1"/>
                <c:pt idx="0">
                  <c:v>0</c:v>
                </c:pt>
              </c:numCache>
            </c:numRef>
          </c:val>
          <c:extLst>
            <c:ext xmlns:c16="http://schemas.microsoft.com/office/drawing/2014/chart" uri="{C3380CC4-5D6E-409C-BE32-E72D297353CC}">
              <c16:uniqueId val="{00000001-DB8B-4E8E-BF1D-DEE45ECBEC0B}"/>
            </c:ext>
          </c:extLst>
        </c:ser>
        <c:dLbls>
          <c:showLegendKey val="0"/>
          <c:showVal val="0"/>
          <c:showCatName val="0"/>
          <c:showSerName val="0"/>
          <c:showPercent val="0"/>
          <c:showBubbleSize val="0"/>
        </c:dLbls>
        <c:gapWidth val="100"/>
        <c:overlap val="100"/>
        <c:axId val="348475888"/>
        <c:axId val="1111998784"/>
      </c:barChart>
      <c:catAx>
        <c:axId val="348475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111998784"/>
        <c:crosses val="autoZero"/>
        <c:auto val="1"/>
        <c:lblAlgn val="ctr"/>
        <c:lblOffset val="100"/>
        <c:noMultiLvlLbl val="0"/>
      </c:catAx>
      <c:valAx>
        <c:axId val="1111998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0" i="0" u="none" strike="noStrike" kern="1200" baseline="0">
                    <a:solidFill>
                      <a:sysClr val="windowText" lastClr="000000"/>
                    </a:solidFill>
                    <a:latin typeface="Times New Roman" panose="02020603050405020304" pitchFamily="18" charset="0"/>
                    <a:cs typeface="Times New Roman" panose="02020603050405020304" pitchFamily="18" charset="0"/>
                  </a:rPr>
                  <a:t>GHG Emissions [tonnes CO</a:t>
                </a:r>
                <a:r>
                  <a:rPr lang="en-US" sz="1400" b="0" i="0" u="none" strike="noStrike" kern="1200" baseline="-25000">
                    <a:solidFill>
                      <a:sysClr val="windowText" lastClr="000000"/>
                    </a:solidFill>
                    <a:latin typeface="Times New Roman" panose="02020603050405020304" pitchFamily="18" charset="0"/>
                    <a:cs typeface="Times New Roman" panose="02020603050405020304" pitchFamily="18" charset="0"/>
                  </a:rPr>
                  <a:t>2</a:t>
                </a:r>
                <a:r>
                  <a:rPr lang="en-US" sz="1400" b="0" i="0" u="none" strike="noStrike" kern="1200" baseline="0">
                    <a:solidFill>
                      <a:sysClr val="windowText" lastClr="000000"/>
                    </a:solidFill>
                    <a:latin typeface="Times New Roman" panose="02020603050405020304" pitchFamily="18" charset="0"/>
                    <a:cs typeface="Times New Roman" panose="02020603050405020304" pitchFamily="18" charset="0"/>
                  </a:rPr>
                  <a:t>e]</a:t>
                </a:r>
              </a:p>
            </c:rich>
          </c:tx>
          <c:layout>
            <c:manualLayout>
              <c:xMode val="edge"/>
              <c:yMode val="edge"/>
              <c:x val="1.672088007748164E-2"/>
              <c:y val="0.18681323793108889"/>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348475888"/>
        <c:crosses val="autoZero"/>
        <c:crossBetween val="between"/>
      </c:valAx>
      <c:spPr>
        <a:noFill/>
        <a:ln>
          <a:noFill/>
        </a:ln>
        <a:effectLst/>
      </c:spPr>
    </c:plotArea>
    <c:legend>
      <c:legendPos val="b"/>
      <c:layout>
        <c:manualLayout>
          <c:xMode val="edge"/>
          <c:yMode val="edge"/>
          <c:x val="0.2322131539830222"/>
          <c:y val="9.450574164943841E-2"/>
          <c:w val="0.53719042648905524"/>
          <c:h val="4.2785170412342109E-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2000" b="1"/>
              <a:t>Scope 1 vs. Scope 2</a:t>
            </a:r>
            <a:r>
              <a:rPr lang="en-US" sz="2000" b="1" baseline="0"/>
              <a:t> Emissions</a:t>
            </a:r>
            <a:endParaRPr lang="en-US" sz="2000" b="1"/>
          </a:p>
        </c:rich>
      </c:tx>
      <c:overlay val="0"/>
      <c:spPr>
        <a:noFill/>
        <a:ln>
          <a:noFill/>
        </a:ln>
        <a:effectLst/>
      </c:spPr>
      <c:txPr>
        <a:bodyPr rot="0" spcFirstLastPara="1" vertOverflow="ellipsis" vert="horz" wrap="square" anchor="ctr" anchorCtr="1"/>
        <a:lstStyle/>
        <a:p>
          <a:pPr>
            <a:defRPr sz="2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1166754668038432E-2"/>
          <c:y val="0.1756298053936228"/>
          <c:w val="0.61751084827125013"/>
          <c:h val="0.7382272671612824"/>
        </c:manualLayout>
      </c:layout>
      <c:pieChart>
        <c:varyColors val="1"/>
        <c:ser>
          <c:idx val="0"/>
          <c:order val="0"/>
          <c:tx>
            <c:v>Total Emissions (tonnes CO2e)</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81D-4EA4-A1A6-80395F2F60C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81D-4EA4-A1A6-80395F2F60CE}"/>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2"/>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Scope 1</c:v>
              </c:pt>
              <c:pt idx="1">
                <c:v>Scope 2</c:v>
              </c:pt>
            </c:strLit>
          </c:cat>
          <c:val>
            <c:numRef>
              <c:f>'Tribal Baseline Graphs_full'!$B$3:$B$4</c:f>
              <c:numCache>
                <c:formatCode>0</c:formatCode>
                <c:ptCount val="2"/>
                <c:pt idx="0">
                  <c:v>0</c:v>
                </c:pt>
                <c:pt idx="1">
                  <c:v>0</c:v>
                </c:pt>
              </c:numCache>
            </c:numRef>
          </c:val>
          <c:extLst>
            <c:ext xmlns:c16="http://schemas.microsoft.com/office/drawing/2014/chart" uri="{C3380CC4-5D6E-409C-BE32-E72D297353CC}">
              <c16:uniqueId val="{00000004-181D-4EA4-A1A6-80395F2F60C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8720233441578804"/>
          <c:y val="0.3678525696664805"/>
          <c:w val="0.22836586105285256"/>
          <c:h val="0.26761403353193258"/>
        </c:manualLayout>
      </c:layout>
      <c:overlay val="0"/>
      <c:spPr>
        <a:noFill/>
        <a:ln>
          <a:noFill/>
        </a:ln>
        <a:effectLst/>
      </c:spPr>
      <c:txPr>
        <a:bodyPr rot="0" spcFirstLastPara="1" vertOverflow="ellipsis" vert="horz" wrap="square" anchor="ctr" anchorCtr="1"/>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2800" b="1"/>
              <a:t>Total GHG Emissions</a:t>
            </a:r>
          </a:p>
        </c:rich>
      </c:tx>
      <c:overlay val="0"/>
      <c:spPr>
        <a:noFill/>
        <a:ln>
          <a:noFill/>
        </a:ln>
        <a:effectLst/>
      </c:spPr>
      <c:txPr>
        <a:bodyPr rot="0" spcFirstLastPara="1" vertOverflow="ellipsis" vert="horz" wrap="square" anchor="ctr" anchorCtr="1"/>
        <a:lstStyle/>
        <a:p>
          <a:pPr>
            <a:defRPr sz="2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1166754668038432E-2"/>
          <c:y val="0.1756298053936228"/>
          <c:w val="0.61751084827125013"/>
          <c:h val="0.7382272671612824"/>
        </c:manualLayout>
      </c:layout>
      <c:pieChart>
        <c:varyColors val="1"/>
        <c:ser>
          <c:idx val="0"/>
          <c:order val="0"/>
          <c:tx>
            <c:v>Total Emissions (tonnes CO2e)</c:v>
          </c:tx>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8CE2-4D3D-AA2F-6F679EE2C4DD}"/>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8CE2-4D3D-AA2F-6F679EE2C4DD}"/>
              </c:ext>
            </c:extLst>
          </c:dPt>
          <c:dPt>
            <c:idx val="2"/>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5-8CE2-4D3D-AA2F-6F679EE2C4DD}"/>
              </c:ext>
            </c:extLst>
          </c:dPt>
          <c:dPt>
            <c:idx val="3"/>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7-8CE2-4D3D-AA2F-6F679EE2C4DD}"/>
              </c:ext>
            </c:extLst>
          </c:dPt>
          <c:dPt>
            <c:idx val="4"/>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9-8CE2-4D3D-AA2F-6F679EE2C4DD}"/>
              </c:ext>
            </c:extLst>
          </c:dPt>
          <c:dPt>
            <c:idx val="5"/>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B-8CE2-4D3D-AA2F-6F679EE2C4DD}"/>
              </c:ext>
            </c:extLst>
          </c:dPt>
          <c:dPt>
            <c:idx val="6"/>
            <c:bubble3D val="0"/>
            <c:spPr>
              <a:solidFill>
                <a:schemeClr val="accent2"/>
              </a:solidFill>
              <a:ln w="19050">
                <a:solidFill>
                  <a:schemeClr val="lt1"/>
                </a:solidFill>
              </a:ln>
              <a:effectLst/>
            </c:spPr>
            <c:extLst>
              <c:ext xmlns:c16="http://schemas.microsoft.com/office/drawing/2014/chart" uri="{C3380CC4-5D6E-409C-BE32-E72D297353CC}">
                <c16:uniqueId val="{0000000D-8CE2-4D3D-AA2F-6F679EE2C4DD}"/>
              </c:ext>
            </c:extLst>
          </c:dPt>
          <c:dLbls>
            <c:dLbl>
              <c:idx val="1"/>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extLst>
                <c:ext xmlns:c16="http://schemas.microsoft.com/office/drawing/2014/chart" uri="{C3380CC4-5D6E-409C-BE32-E72D297353CC}">
                  <c16:uniqueId val="{00000003-8CE2-4D3D-AA2F-6F679EE2C4DD}"/>
                </c:ext>
              </c:extLst>
            </c:dLbl>
            <c:dLbl>
              <c:idx val="2"/>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extLst>
                <c:ext xmlns:c16="http://schemas.microsoft.com/office/drawing/2014/chart" uri="{C3380CC4-5D6E-409C-BE32-E72D297353CC}">
                  <c16:uniqueId val="{00000005-8CE2-4D3D-AA2F-6F679EE2C4DD}"/>
                </c:ext>
              </c:extLst>
            </c:dLbl>
            <c:dLbl>
              <c:idx val="4"/>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extLst>
                <c:ext xmlns:c16="http://schemas.microsoft.com/office/drawing/2014/chart" uri="{C3380CC4-5D6E-409C-BE32-E72D297353CC}">
                  <c16:uniqueId val="{00000009-8CE2-4D3D-AA2F-6F679EE2C4DD}"/>
                </c:ext>
              </c:extLst>
            </c:dLbl>
            <c:dLbl>
              <c:idx val="5"/>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extLst>
                <c:ext xmlns:c16="http://schemas.microsoft.com/office/drawing/2014/chart" uri="{C3380CC4-5D6E-409C-BE32-E72D297353CC}">
                  <c16:uniqueId val="{0000000B-8CE2-4D3D-AA2F-6F679EE2C4DD}"/>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2"/>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7"/>
              <c:pt idx="0">
                <c:v>Single Family</c:v>
              </c:pt>
              <c:pt idx="1">
                <c:v>Multifamily</c:v>
              </c:pt>
              <c:pt idx="2">
                <c:v>Commercial</c:v>
              </c:pt>
              <c:pt idx="3">
                <c:v>On-Road</c:v>
              </c:pt>
              <c:pt idx="4">
                <c:v>Off-Road</c:v>
              </c:pt>
              <c:pt idx="5">
                <c:v>Waterborne</c:v>
              </c:pt>
              <c:pt idx="6">
                <c:v>Other</c:v>
              </c:pt>
            </c:strLit>
          </c:cat>
          <c:val>
            <c:numRef>
              <c:f>('Tribal Baseline Graphs_full'!$B$16:$B$18,'Tribal Baseline Graphs_full'!$B$23,'Tribal Baseline Graphs_full'!$B$26,'Tribal Baseline Graphs_full'!$B$30,'Tribal Baseline Graphs_full'!$B$33)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8CE2-4D3D-AA2F-6F679EE2C4D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8720233441578804"/>
          <c:y val="0.3678525696664805"/>
          <c:w val="0.29852930883639545"/>
          <c:h val="0.2855619946611768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2800" b="1"/>
              <a:t>Emissions Summary</a:t>
            </a:r>
          </a:p>
        </c:rich>
      </c:tx>
      <c:layout>
        <c:manualLayout>
          <c:xMode val="edge"/>
          <c:yMode val="edge"/>
          <c:x val="0.33733973152126567"/>
          <c:y val="1.6329838267949228E-2"/>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556743461111971"/>
          <c:y val="0.17171314570288559"/>
          <c:w val="0.78841863517060362"/>
          <c:h val="0.63350284339457574"/>
        </c:manualLayout>
      </c:layout>
      <c:barChart>
        <c:barDir val="col"/>
        <c:grouping val="stacked"/>
        <c:varyColors val="0"/>
        <c:ser>
          <c:idx val="0"/>
          <c:order val="0"/>
          <c:tx>
            <c:v>Fuel / Scope 1</c:v>
          </c:tx>
          <c:spPr>
            <a:solidFill>
              <a:schemeClr val="accent1"/>
            </a:solidFill>
            <a:ln>
              <a:noFill/>
            </a:ln>
            <a:effectLst/>
          </c:spPr>
          <c:invertIfNegative val="0"/>
          <c:cat>
            <c:strLit>
              <c:ptCount val="4"/>
              <c:pt idx="0">
                <c:v>Single Family</c:v>
              </c:pt>
              <c:pt idx="1">
                <c:v>Multifamily</c:v>
              </c:pt>
              <c:pt idx="2">
                <c:v>Commercial</c:v>
              </c:pt>
              <c:pt idx="3">
                <c:v>Transportation</c:v>
              </c:pt>
            </c:strLit>
          </c:cat>
          <c:val>
            <c:numRef>
              <c:f>('Tribal Baseline Graphs_full'!$B$6:$B$8,'Tribal Baseline Graphs_full'!$B$32)</c:f>
              <c:numCache>
                <c:formatCode>0</c:formatCode>
                <c:ptCount val="4"/>
                <c:pt idx="0">
                  <c:v>0</c:v>
                </c:pt>
                <c:pt idx="1">
                  <c:v>0</c:v>
                </c:pt>
                <c:pt idx="2">
                  <c:v>0</c:v>
                </c:pt>
                <c:pt idx="3">
                  <c:v>0</c:v>
                </c:pt>
              </c:numCache>
            </c:numRef>
          </c:val>
          <c:extLst>
            <c:ext xmlns:c16="http://schemas.microsoft.com/office/drawing/2014/chart" uri="{C3380CC4-5D6E-409C-BE32-E72D297353CC}">
              <c16:uniqueId val="{00000000-1B1B-47CD-B6B5-FBFBBB862161}"/>
            </c:ext>
          </c:extLst>
        </c:ser>
        <c:ser>
          <c:idx val="1"/>
          <c:order val="1"/>
          <c:tx>
            <c:v>Electricity / Scope 2</c:v>
          </c:tx>
          <c:spPr>
            <a:solidFill>
              <a:schemeClr val="accent2"/>
            </a:solidFill>
            <a:ln>
              <a:noFill/>
            </a:ln>
            <a:effectLst/>
          </c:spPr>
          <c:invertIfNegative val="0"/>
          <c:cat>
            <c:strLit>
              <c:ptCount val="4"/>
              <c:pt idx="0">
                <c:v>Single Family</c:v>
              </c:pt>
              <c:pt idx="1">
                <c:v>Multifamily</c:v>
              </c:pt>
              <c:pt idx="2">
                <c:v>Commercial</c:v>
              </c:pt>
              <c:pt idx="3">
                <c:v>Transportation</c:v>
              </c:pt>
            </c:strLit>
          </c:cat>
          <c:val>
            <c:numRef>
              <c:f>'Tribal Baseline Graphs_full'!$B$11:$B$13</c:f>
              <c:numCache>
                <c:formatCode>0</c:formatCode>
                <c:ptCount val="3"/>
                <c:pt idx="0">
                  <c:v>0</c:v>
                </c:pt>
                <c:pt idx="1">
                  <c:v>0</c:v>
                </c:pt>
                <c:pt idx="2">
                  <c:v>0</c:v>
                </c:pt>
              </c:numCache>
            </c:numRef>
          </c:val>
          <c:extLst>
            <c:ext xmlns:c16="http://schemas.microsoft.com/office/drawing/2014/chart" uri="{C3380CC4-5D6E-409C-BE32-E72D297353CC}">
              <c16:uniqueId val="{00000001-1B1B-47CD-B6B5-FBFBBB862161}"/>
            </c:ext>
          </c:extLst>
        </c:ser>
        <c:dLbls>
          <c:showLegendKey val="0"/>
          <c:showVal val="0"/>
          <c:showCatName val="0"/>
          <c:showSerName val="0"/>
          <c:showPercent val="0"/>
          <c:showBubbleSize val="0"/>
        </c:dLbls>
        <c:gapWidth val="150"/>
        <c:overlap val="100"/>
        <c:axId val="220204959"/>
        <c:axId val="535039359"/>
      </c:barChart>
      <c:catAx>
        <c:axId val="220204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535039359"/>
        <c:crosses val="autoZero"/>
        <c:auto val="1"/>
        <c:lblAlgn val="ctr"/>
        <c:lblOffset val="100"/>
        <c:noMultiLvlLbl val="0"/>
      </c:catAx>
      <c:valAx>
        <c:axId val="5350393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2000" b="0" i="0" u="none" strike="noStrike" kern="1200" baseline="0">
                    <a:solidFill>
                      <a:sysClr val="windowText" lastClr="000000"/>
                    </a:solidFill>
                    <a:latin typeface="Times New Roman" panose="02020603050405020304" pitchFamily="18" charset="0"/>
                    <a:cs typeface="Times New Roman" panose="02020603050405020304" pitchFamily="18" charset="0"/>
                  </a:rPr>
                  <a:t>GHG Emissions [tonnes CO</a:t>
                </a:r>
                <a:r>
                  <a:rPr lang="en-US" sz="2000" b="0" i="0" u="none" strike="noStrike" kern="1200" baseline="-25000">
                    <a:solidFill>
                      <a:sysClr val="windowText" lastClr="000000"/>
                    </a:solidFill>
                    <a:latin typeface="Times New Roman" panose="02020603050405020304" pitchFamily="18" charset="0"/>
                    <a:cs typeface="Times New Roman" panose="02020603050405020304" pitchFamily="18" charset="0"/>
                  </a:rPr>
                  <a:t>2</a:t>
                </a:r>
                <a:r>
                  <a:rPr lang="en-US" sz="2000" b="0" i="0" u="none" strike="noStrike" kern="1200" baseline="0">
                    <a:solidFill>
                      <a:sysClr val="windowText" lastClr="000000"/>
                    </a:solidFill>
                    <a:latin typeface="Times New Roman" panose="02020603050405020304" pitchFamily="18" charset="0"/>
                    <a:cs typeface="Times New Roman" panose="02020603050405020304" pitchFamily="18" charset="0"/>
                  </a:rPr>
                  <a:t>e]</a:t>
                </a:r>
              </a:p>
            </c:rich>
          </c:tx>
          <c:layout>
            <c:manualLayout>
              <c:xMode val="edge"/>
              <c:yMode val="edge"/>
              <c:x val="2.5388956156662257E-2"/>
              <c:y val="0.22149316809912634"/>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20204959"/>
        <c:crosses val="autoZero"/>
        <c:crossBetween val="between"/>
      </c:valAx>
      <c:spPr>
        <a:noFill/>
        <a:ln>
          <a:noFill/>
        </a:ln>
        <a:effectLst/>
      </c:spPr>
    </c:plotArea>
    <c:legend>
      <c:legendPos val="t"/>
      <c:layout>
        <c:manualLayout>
          <c:xMode val="edge"/>
          <c:yMode val="edge"/>
          <c:x val="0.26517203711786225"/>
          <c:y val="9.0676611838545418E-2"/>
          <c:w val="0.46160553953991673"/>
          <c:h val="6.6037478090065493E-2"/>
        </c:manualLayout>
      </c:layout>
      <c:overlay val="0"/>
      <c:spPr>
        <a:noFill/>
        <a:ln>
          <a:noFill/>
        </a:ln>
        <a:effectLst/>
      </c:spPr>
      <c:txPr>
        <a:bodyPr rot="0" spcFirstLastPara="1" vertOverflow="ellipsis" vert="horz" wrap="square" anchor="ctr" anchorCtr="1"/>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2800" b="1"/>
              <a:t>Building Electricity</a:t>
            </a:r>
            <a:r>
              <a:rPr lang="en-US" sz="2800" b="1" baseline="0"/>
              <a:t> / Scope 2 Emissions</a:t>
            </a:r>
            <a:endParaRPr lang="en-US" sz="2800" b="1"/>
          </a:p>
        </c:rich>
      </c:tx>
      <c:overlay val="0"/>
      <c:spPr>
        <a:noFill/>
        <a:ln>
          <a:noFill/>
        </a:ln>
        <a:effectLst/>
      </c:spPr>
      <c:txPr>
        <a:bodyPr rot="0" spcFirstLastPara="1" vertOverflow="ellipsis" vert="horz" wrap="square" anchor="ctr" anchorCtr="1"/>
        <a:lstStyle/>
        <a:p>
          <a:pPr>
            <a:defRPr sz="2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1166754668038432E-2"/>
          <c:y val="0.1756298053936228"/>
          <c:w val="0.61751084827125013"/>
          <c:h val="0.7382272671612824"/>
        </c:manualLayout>
      </c:layout>
      <c:pieChart>
        <c:varyColors val="1"/>
        <c:ser>
          <c:idx val="0"/>
          <c:order val="0"/>
          <c:tx>
            <c:v>Building Emissions</c:v>
          </c:tx>
          <c:spPr>
            <a:solidFill>
              <a:schemeClr val="accent1">
                <a:lumMod val="60000"/>
                <a:lumOff val="4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007A-478B-85A8-C23DBE1E0706}"/>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007A-478B-85A8-C23DBE1E0706}"/>
              </c:ext>
            </c:extLst>
          </c:dPt>
          <c:dPt>
            <c:idx val="2"/>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5-007A-478B-85A8-C23DBE1E0706}"/>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7"/>
              <c:pt idx="0">
                <c:v>Single Family</c:v>
              </c:pt>
              <c:pt idx="1">
                <c:v>Multifamily</c:v>
              </c:pt>
              <c:pt idx="2">
                <c:v>Commercial</c:v>
              </c:pt>
              <c:pt idx="3">
                <c:v>On-Road</c:v>
              </c:pt>
              <c:pt idx="4">
                <c:v>Off-Road</c:v>
              </c:pt>
              <c:pt idx="5">
                <c:v>Waterborne</c:v>
              </c:pt>
              <c:pt idx="6">
                <c:v>Other</c:v>
              </c:pt>
            </c:strLit>
          </c:cat>
          <c:val>
            <c:numRef>
              <c:f>'Tribal Baseline Graphs_full'!$B$11:$B$13</c:f>
              <c:numCache>
                <c:formatCode>0</c:formatCode>
                <c:ptCount val="3"/>
                <c:pt idx="0">
                  <c:v>0</c:v>
                </c:pt>
                <c:pt idx="1">
                  <c:v>0</c:v>
                </c:pt>
                <c:pt idx="2">
                  <c:v>0</c:v>
                </c:pt>
              </c:numCache>
            </c:numRef>
          </c:val>
          <c:extLst>
            <c:ext xmlns:c16="http://schemas.microsoft.com/office/drawing/2014/chart" uri="{C3380CC4-5D6E-409C-BE32-E72D297353CC}">
              <c16:uniqueId val="{00000006-007A-478B-85A8-C23DBE1E0706}"/>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2800" b="1"/>
              <a:t>Scope 1 vs. Scope 2</a:t>
            </a:r>
            <a:r>
              <a:rPr lang="en-US" sz="2800" b="1" baseline="0"/>
              <a:t> Emissions</a:t>
            </a:r>
            <a:endParaRPr lang="en-US" sz="2800" b="1"/>
          </a:p>
        </c:rich>
      </c:tx>
      <c:overlay val="0"/>
      <c:spPr>
        <a:noFill/>
        <a:ln>
          <a:noFill/>
        </a:ln>
        <a:effectLst/>
      </c:spPr>
      <c:txPr>
        <a:bodyPr rot="0" spcFirstLastPara="1" vertOverflow="ellipsis" vert="horz" wrap="square" anchor="ctr" anchorCtr="1"/>
        <a:lstStyle/>
        <a:p>
          <a:pPr>
            <a:defRPr sz="28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1166754668038432E-2"/>
          <c:y val="0.1756298053936228"/>
          <c:w val="0.61751084827125013"/>
          <c:h val="0.7382272671612824"/>
        </c:manualLayout>
      </c:layout>
      <c:pieChart>
        <c:varyColors val="1"/>
        <c:ser>
          <c:idx val="0"/>
          <c:order val="0"/>
          <c:tx>
            <c:v>Total Emissions (tonnes CO2e)</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945-4A18-8F77-0998D4CBA0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945-4A18-8F77-0998D4CBA06E}"/>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2"/>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Scope 1</c:v>
              </c:pt>
              <c:pt idx="1">
                <c:v>Scope 2</c:v>
              </c:pt>
            </c:strLit>
          </c:cat>
          <c:val>
            <c:numRef>
              <c:f>'Tribal Baseline Graphs_full'!$B$3:$B$4</c:f>
              <c:numCache>
                <c:formatCode>0</c:formatCode>
                <c:ptCount val="2"/>
                <c:pt idx="0">
                  <c:v>0</c:v>
                </c:pt>
                <c:pt idx="1">
                  <c:v>0</c:v>
                </c:pt>
              </c:numCache>
            </c:numRef>
          </c:val>
          <c:extLst>
            <c:ext xmlns:c16="http://schemas.microsoft.com/office/drawing/2014/chart" uri="{C3380CC4-5D6E-409C-BE32-E72D297353CC}">
              <c16:uniqueId val="{00000004-F945-4A18-8F77-0998D4CBA06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8720233441578804"/>
          <c:y val="0.3678525696664805"/>
          <c:w val="0.22836586105285256"/>
          <c:h val="0.26761403353193258"/>
        </c:manualLayout>
      </c:layout>
      <c:overlay val="0"/>
      <c:spPr>
        <a:noFill/>
        <a:ln>
          <a:noFill/>
        </a:ln>
        <a:effectLst/>
      </c:spPr>
      <c:txPr>
        <a:bodyPr rot="0" spcFirstLastPara="1" vertOverflow="ellipsis" vert="horz" wrap="square" anchor="ctr" anchorCtr="1"/>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2000" b="1"/>
              <a:t> Emissions</a:t>
            </a:r>
          </a:p>
        </c:rich>
      </c:tx>
      <c:layout>
        <c:manualLayout>
          <c:xMode val="edge"/>
          <c:yMode val="edge"/>
          <c:x val="0.33733973152126567"/>
          <c:y val="1.6329838267949228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556743461111971"/>
          <c:y val="0.17171314570288559"/>
          <c:w val="0.78841863517060362"/>
          <c:h val="0.63350284339457574"/>
        </c:manualLayout>
      </c:layout>
      <c:barChart>
        <c:barDir val="col"/>
        <c:grouping val="stacked"/>
        <c:varyColors val="0"/>
        <c:ser>
          <c:idx val="0"/>
          <c:order val="0"/>
          <c:tx>
            <c:v>Fuel / Scope 1</c:v>
          </c:tx>
          <c:spPr>
            <a:solidFill>
              <a:schemeClr val="accent1"/>
            </a:solidFill>
            <a:ln>
              <a:noFill/>
            </a:ln>
            <a:effectLst/>
          </c:spPr>
          <c:invertIfNegative val="0"/>
          <c:cat>
            <c:strLit>
              <c:ptCount val="4"/>
              <c:pt idx="0">
                <c:v>Single Family</c:v>
              </c:pt>
              <c:pt idx="1">
                <c:v>Multifamily</c:v>
              </c:pt>
              <c:pt idx="2">
                <c:v>Commercial</c:v>
              </c:pt>
              <c:pt idx="3">
                <c:v>Transportation</c:v>
              </c:pt>
            </c:strLit>
          </c:cat>
          <c:val>
            <c:numRef>
              <c:f>('Tribal Baseline Graphs_full'!$B$6:$B$8,'Tribal Baseline Graphs_full'!$B$32)</c:f>
              <c:numCache>
                <c:formatCode>0</c:formatCode>
                <c:ptCount val="4"/>
                <c:pt idx="0">
                  <c:v>0</c:v>
                </c:pt>
                <c:pt idx="1">
                  <c:v>0</c:v>
                </c:pt>
                <c:pt idx="2">
                  <c:v>0</c:v>
                </c:pt>
                <c:pt idx="3">
                  <c:v>0</c:v>
                </c:pt>
              </c:numCache>
            </c:numRef>
          </c:val>
          <c:extLst>
            <c:ext xmlns:c16="http://schemas.microsoft.com/office/drawing/2014/chart" uri="{C3380CC4-5D6E-409C-BE32-E72D297353CC}">
              <c16:uniqueId val="{00000000-AC36-4D0A-9899-EB9DF23CA6D7}"/>
            </c:ext>
          </c:extLst>
        </c:ser>
        <c:ser>
          <c:idx val="1"/>
          <c:order val="1"/>
          <c:tx>
            <c:v>Electricity / Scope 2</c:v>
          </c:tx>
          <c:spPr>
            <a:solidFill>
              <a:schemeClr val="accent2"/>
            </a:solidFill>
            <a:ln>
              <a:noFill/>
            </a:ln>
            <a:effectLst/>
          </c:spPr>
          <c:invertIfNegative val="0"/>
          <c:cat>
            <c:strLit>
              <c:ptCount val="4"/>
              <c:pt idx="0">
                <c:v>Single Family</c:v>
              </c:pt>
              <c:pt idx="1">
                <c:v>Multifamily</c:v>
              </c:pt>
              <c:pt idx="2">
                <c:v>Commercial</c:v>
              </c:pt>
              <c:pt idx="3">
                <c:v>Transportation</c:v>
              </c:pt>
            </c:strLit>
          </c:cat>
          <c:val>
            <c:numRef>
              <c:f>'Tribal Baseline Graphs_full'!$B$11:$B$13</c:f>
              <c:numCache>
                <c:formatCode>0</c:formatCode>
                <c:ptCount val="3"/>
                <c:pt idx="0">
                  <c:v>0</c:v>
                </c:pt>
                <c:pt idx="1">
                  <c:v>0</c:v>
                </c:pt>
                <c:pt idx="2">
                  <c:v>0</c:v>
                </c:pt>
              </c:numCache>
            </c:numRef>
          </c:val>
          <c:extLst>
            <c:ext xmlns:c16="http://schemas.microsoft.com/office/drawing/2014/chart" uri="{C3380CC4-5D6E-409C-BE32-E72D297353CC}">
              <c16:uniqueId val="{00000001-AC36-4D0A-9899-EB9DF23CA6D7}"/>
            </c:ext>
          </c:extLst>
        </c:ser>
        <c:dLbls>
          <c:showLegendKey val="0"/>
          <c:showVal val="0"/>
          <c:showCatName val="0"/>
          <c:showSerName val="0"/>
          <c:showPercent val="0"/>
          <c:showBubbleSize val="0"/>
        </c:dLbls>
        <c:gapWidth val="150"/>
        <c:overlap val="100"/>
        <c:axId val="220204959"/>
        <c:axId val="535039359"/>
      </c:barChart>
      <c:catAx>
        <c:axId val="220204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535039359"/>
        <c:crosses val="autoZero"/>
        <c:auto val="1"/>
        <c:lblAlgn val="ctr"/>
        <c:lblOffset val="100"/>
        <c:noMultiLvlLbl val="0"/>
      </c:catAx>
      <c:valAx>
        <c:axId val="5350393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0" i="0" u="none" strike="noStrike" kern="1200" baseline="0">
                    <a:solidFill>
                      <a:sysClr val="windowText" lastClr="000000"/>
                    </a:solidFill>
                    <a:latin typeface="Times New Roman" panose="02020603050405020304" pitchFamily="18" charset="0"/>
                    <a:cs typeface="Times New Roman" panose="02020603050405020304" pitchFamily="18" charset="0"/>
                  </a:rPr>
                  <a:t>GHG Emissions [tonnes CO</a:t>
                </a:r>
                <a:r>
                  <a:rPr lang="en-US" sz="1200" b="0" i="0" u="none" strike="noStrike" kern="1200" baseline="-25000">
                    <a:solidFill>
                      <a:sysClr val="windowText" lastClr="000000"/>
                    </a:solidFill>
                    <a:latin typeface="Times New Roman" panose="02020603050405020304" pitchFamily="18" charset="0"/>
                    <a:cs typeface="Times New Roman" panose="02020603050405020304" pitchFamily="18" charset="0"/>
                  </a:rPr>
                  <a:t>2</a:t>
                </a:r>
                <a:r>
                  <a:rPr lang="en-US" sz="1200" b="0" i="0" u="none" strike="noStrike" kern="1200" baseline="0">
                    <a:solidFill>
                      <a:sysClr val="windowText" lastClr="000000"/>
                    </a:solidFill>
                    <a:latin typeface="Times New Roman" panose="02020603050405020304" pitchFamily="18" charset="0"/>
                    <a:cs typeface="Times New Roman" panose="02020603050405020304" pitchFamily="18" charset="0"/>
                  </a:rPr>
                  <a:t>e]</a:t>
                </a:r>
              </a:p>
            </c:rich>
          </c:tx>
          <c:layout>
            <c:manualLayout>
              <c:xMode val="edge"/>
              <c:yMode val="edge"/>
              <c:x val="3.5277039673904061E-2"/>
              <c:y val="0.2214931324442480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20204959"/>
        <c:crosses val="autoZero"/>
        <c:crossBetween val="between"/>
      </c:valAx>
      <c:spPr>
        <a:noFill/>
        <a:ln>
          <a:noFill/>
        </a:ln>
        <a:effectLst/>
      </c:spPr>
    </c:plotArea>
    <c:legend>
      <c:legendPos val="t"/>
      <c:layout>
        <c:manualLayout>
          <c:xMode val="edge"/>
          <c:yMode val="edge"/>
          <c:x val="0.22396840982989008"/>
          <c:y val="9.0676546901485966E-2"/>
          <c:w val="0.54925169887635894"/>
          <c:h val="6.6037478090065493E-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2000" b="1"/>
              <a:t>Building Electricity</a:t>
            </a:r>
            <a:r>
              <a:rPr lang="en-US" sz="2000" b="1" baseline="0"/>
              <a:t> / Scope 2 Emissions</a:t>
            </a:r>
            <a:endParaRPr lang="en-US" sz="2000" b="1"/>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1166754668038432E-2"/>
          <c:y val="0.1756298053936228"/>
          <c:w val="0.61751084827125013"/>
          <c:h val="0.7382272671612824"/>
        </c:manualLayout>
      </c:layout>
      <c:pieChart>
        <c:varyColors val="1"/>
        <c:ser>
          <c:idx val="0"/>
          <c:order val="0"/>
          <c:tx>
            <c:v>Building Emissions</c:v>
          </c:tx>
          <c:spPr>
            <a:solidFill>
              <a:schemeClr val="accent1">
                <a:lumMod val="60000"/>
                <a:lumOff val="4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2671-4A94-8EE5-D5FAAFD73B08}"/>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2671-4A94-8EE5-D5FAAFD73B08}"/>
              </c:ext>
            </c:extLst>
          </c:dPt>
          <c:dPt>
            <c:idx val="2"/>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5-2671-4A94-8EE5-D5FAAFD73B08}"/>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7"/>
              <c:pt idx="0">
                <c:v>Single Family</c:v>
              </c:pt>
              <c:pt idx="1">
                <c:v>Multifamily</c:v>
              </c:pt>
              <c:pt idx="2">
                <c:v>Commercial</c:v>
              </c:pt>
              <c:pt idx="3">
                <c:v>On-Road</c:v>
              </c:pt>
              <c:pt idx="4">
                <c:v>Off-Road</c:v>
              </c:pt>
              <c:pt idx="5">
                <c:v>Waterborne</c:v>
              </c:pt>
              <c:pt idx="6">
                <c:v>Other</c:v>
              </c:pt>
            </c:strLit>
          </c:cat>
          <c:val>
            <c:numRef>
              <c:f>'Tribal Baseline Graphs_full'!$B$11:$B$13</c:f>
              <c:numCache>
                <c:formatCode>0</c:formatCode>
                <c:ptCount val="3"/>
                <c:pt idx="0">
                  <c:v>0</c:v>
                </c:pt>
                <c:pt idx="1">
                  <c:v>0</c:v>
                </c:pt>
                <c:pt idx="2">
                  <c:v>0</c:v>
                </c:pt>
              </c:numCache>
            </c:numRef>
          </c:val>
          <c:extLst>
            <c:ext xmlns:c16="http://schemas.microsoft.com/office/drawing/2014/chart" uri="{C3380CC4-5D6E-409C-BE32-E72D297353CC}">
              <c16:uniqueId val="{0000000E-2671-4A94-8EE5-D5FAAFD73B08}"/>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2000" b="1"/>
              <a:t>Total GHG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3.5887797839254144E-2"/>
          <c:y val="0.17562975407674383"/>
          <c:w val="0.61751084827125013"/>
          <c:h val="0.7382272671612824"/>
        </c:manualLayout>
      </c:layout>
      <c:pieChart>
        <c:varyColors val="1"/>
        <c:ser>
          <c:idx val="0"/>
          <c:order val="0"/>
          <c:tx>
            <c:v>Total Emissions (tonnes CO2e)</c:v>
          </c:tx>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2633-4C8B-BD75-7DBA2DC84F2C}"/>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2633-4C8B-BD75-7DBA2DC84F2C}"/>
              </c:ext>
            </c:extLst>
          </c:dPt>
          <c:dPt>
            <c:idx val="2"/>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5-2633-4C8B-BD75-7DBA2DC84F2C}"/>
              </c:ext>
            </c:extLst>
          </c:dPt>
          <c:dPt>
            <c:idx val="3"/>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7-2633-4C8B-BD75-7DBA2DC84F2C}"/>
              </c:ext>
            </c:extLst>
          </c:dPt>
          <c:dPt>
            <c:idx val="4"/>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9-2633-4C8B-BD75-7DBA2DC84F2C}"/>
              </c:ext>
            </c:extLst>
          </c:dPt>
          <c:dPt>
            <c:idx val="5"/>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B-2633-4C8B-BD75-7DBA2DC84F2C}"/>
              </c:ext>
            </c:extLst>
          </c:dPt>
          <c:dPt>
            <c:idx val="6"/>
            <c:bubble3D val="0"/>
            <c:spPr>
              <a:solidFill>
                <a:schemeClr val="accent2"/>
              </a:solidFill>
              <a:ln w="19050">
                <a:solidFill>
                  <a:schemeClr val="lt1"/>
                </a:solidFill>
              </a:ln>
              <a:effectLst/>
            </c:spPr>
            <c:extLst>
              <c:ext xmlns:c16="http://schemas.microsoft.com/office/drawing/2014/chart" uri="{C3380CC4-5D6E-409C-BE32-E72D297353CC}">
                <c16:uniqueId val="{0000000C-2633-4C8B-BD75-7DBA2DC84F2C}"/>
              </c:ext>
            </c:extLst>
          </c:dPt>
          <c:dLbls>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extLst>
                <c:ext xmlns:c16="http://schemas.microsoft.com/office/drawing/2014/chart" uri="{C3380CC4-5D6E-409C-BE32-E72D297353CC}">
                  <c16:uniqueId val="{00000003-2633-4C8B-BD75-7DBA2DC84F2C}"/>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extLst>
                <c:ext xmlns:c16="http://schemas.microsoft.com/office/drawing/2014/chart" uri="{C3380CC4-5D6E-409C-BE32-E72D297353CC}">
                  <c16:uniqueId val="{00000005-2633-4C8B-BD75-7DBA2DC84F2C}"/>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extLst>
                <c:ext xmlns:c16="http://schemas.microsoft.com/office/drawing/2014/chart" uri="{C3380CC4-5D6E-409C-BE32-E72D297353CC}">
                  <c16:uniqueId val="{00000009-2633-4C8B-BD75-7DBA2DC84F2C}"/>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extLst>
                <c:ext xmlns:c16="http://schemas.microsoft.com/office/drawing/2014/chart" uri="{C3380CC4-5D6E-409C-BE32-E72D297353CC}">
                  <c16:uniqueId val="{0000000B-2633-4C8B-BD75-7DBA2DC84F2C}"/>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2"/>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7"/>
              <c:pt idx="0">
                <c:v>Single Family</c:v>
              </c:pt>
              <c:pt idx="1">
                <c:v>Multifamily</c:v>
              </c:pt>
              <c:pt idx="2">
                <c:v>Commercial</c:v>
              </c:pt>
              <c:pt idx="3">
                <c:v>On-Road</c:v>
              </c:pt>
              <c:pt idx="4">
                <c:v>Off-Road</c:v>
              </c:pt>
              <c:pt idx="5">
                <c:v>Waterborne</c:v>
              </c:pt>
              <c:pt idx="6">
                <c:v>Other</c:v>
              </c:pt>
            </c:strLit>
          </c:cat>
          <c:val>
            <c:numRef>
              <c:f>('Tribal Baseline Graphs_full'!$B$16:$B$18,'Tribal Baseline Graphs_full'!$B$23,'Tribal Baseline Graphs_full'!$B$26,'Tribal Baseline Graphs_full'!$B$30,'Tribal Baseline Graphs_full'!$B$33)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A-2633-4C8B-BD75-7DBA2DC84F2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2000" b="1"/>
              <a:t>Total GHG Emissions</a:t>
            </a:r>
          </a:p>
        </c:rich>
      </c:tx>
      <c:layout>
        <c:manualLayout>
          <c:xMode val="edge"/>
          <c:yMode val="edge"/>
          <c:x val="0.1769400101229521"/>
          <c:y val="5.7408379508117044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4.2767290655655682E-2"/>
          <c:y val="0.17562974605512344"/>
          <c:w val="0.61751084827125013"/>
          <c:h val="0.7382272671612824"/>
        </c:manualLayout>
      </c:layout>
      <c:doughnutChart>
        <c:varyColors val="1"/>
        <c:ser>
          <c:idx val="1"/>
          <c:order val="0"/>
          <c:tx>
            <c:v>Breakdown</c:v>
          </c:tx>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7BDE-4150-ABD0-1FF9B74F4A85}"/>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7BDE-4150-ABD0-1FF9B74F4A85}"/>
              </c:ext>
            </c:extLst>
          </c:dPt>
          <c:dPt>
            <c:idx val="2"/>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5-7BDE-4150-ABD0-1FF9B74F4A85}"/>
              </c:ext>
            </c:extLst>
          </c:dPt>
          <c:dPt>
            <c:idx val="3"/>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7-7BDE-4150-ABD0-1FF9B74F4A85}"/>
              </c:ext>
            </c:extLst>
          </c:dPt>
          <c:dPt>
            <c:idx val="4"/>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9-7BDE-4150-ABD0-1FF9B74F4A85}"/>
              </c:ext>
            </c:extLst>
          </c:dPt>
          <c:dPt>
            <c:idx val="5"/>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B-7BDE-4150-ABD0-1FF9B74F4A85}"/>
              </c:ext>
            </c:extLst>
          </c:dPt>
          <c:dPt>
            <c:idx val="6"/>
            <c:bubble3D val="0"/>
            <c:spPr>
              <a:solidFill>
                <a:schemeClr val="accent2"/>
              </a:solidFill>
              <a:ln w="19050">
                <a:solidFill>
                  <a:schemeClr val="lt1"/>
                </a:solidFill>
              </a:ln>
              <a:effectLst/>
            </c:spPr>
            <c:extLst>
              <c:ext xmlns:c16="http://schemas.microsoft.com/office/drawing/2014/chart" uri="{C3380CC4-5D6E-409C-BE32-E72D297353CC}">
                <c16:uniqueId val="{00000012-3772-4C99-98CA-1DAA693744F4}"/>
              </c:ext>
            </c:extLst>
          </c:dPt>
          <c:dLbls>
            <c:delete val="1"/>
          </c:dLbls>
          <c:cat>
            <c:strLit>
              <c:ptCount val="7"/>
              <c:pt idx="0">
                <c:v>Single Family</c:v>
              </c:pt>
              <c:pt idx="1">
                <c:v>Multifamily</c:v>
              </c:pt>
              <c:pt idx="2">
                <c:v>Commercial</c:v>
              </c:pt>
              <c:pt idx="3">
                <c:v>On-Road</c:v>
              </c:pt>
              <c:pt idx="4">
                <c:v>Off-Road</c:v>
              </c:pt>
              <c:pt idx="5">
                <c:v>Waterborne</c:v>
              </c:pt>
              <c:pt idx="6">
                <c:v>Other</c:v>
              </c:pt>
            </c:strLit>
          </c:cat>
          <c:val>
            <c:numRef>
              <c:f>('Tribal Baseline Graphs_full'!$B$40:$B$42,'Tribal Baseline Graphs_full'!$B$45:$B$47,'Tribal Baseline Graphs_full'!$B$50)</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0-7BDE-4150-ABD0-1FF9B74F4A85}"/>
            </c:ext>
          </c:extLst>
        </c:ser>
        <c:ser>
          <c:idx val="0"/>
          <c:order val="1"/>
          <c:tx>
            <c:v>Total</c:v>
          </c:tx>
          <c:dPt>
            <c:idx val="0"/>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1D-A9FC-450A-9F9C-5A506ADB7D96}"/>
              </c:ext>
            </c:extLst>
          </c:dPt>
          <c:dPt>
            <c:idx val="1"/>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1C-A9FC-450A-9F9C-5A506ADB7D96}"/>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11-6B89-4600-958E-582E09435699}"/>
              </c:ext>
            </c:extLst>
          </c:dPt>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('Tribal Baseline Graphs_full'!$B$20,'Tribal Baseline Graphs_full'!$B$32,'Tribal Baseline Graphs_full'!$B$33)</c:f>
              <c:numCache>
                <c:formatCode>0</c:formatCode>
                <c:ptCount val="3"/>
                <c:pt idx="0">
                  <c:v>0</c:v>
                </c:pt>
                <c:pt idx="1">
                  <c:v>0</c:v>
                </c:pt>
                <c:pt idx="2">
                  <c:v>0</c:v>
                </c:pt>
              </c:numCache>
            </c:numRef>
          </c:val>
          <c:extLst>
            <c:ext xmlns:c16="http://schemas.microsoft.com/office/drawing/2014/chart" uri="{C3380CC4-5D6E-409C-BE32-E72D297353CC}">
              <c16:uniqueId val="{0000001B-A9FC-450A-9F9C-5A506ADB7D96}"/>
            </c:ext>
          </c:extLst>
        </c:ser>
        <c:dLbls>
          <c:showLegendKey val="0"/>
          <c:showVal val="1"/>
          <c:showCatName val="0"/>
          <c:showSerName val="0"/>
          <c:showPercent val="0"/>
          <c:showBubbleSize val="0"/>
          <c:showLeaderLines val="1"/>
        </c:dLbls>
        <c:firstSliceAng val="0"/>
        <c:holeSize val="0"/>
      </c:doughnutChart>
      <c:spPr>
        <a:noFill/>
        <a:ln>
          <a:noFill/>
        </a:ln>
        <a:effectLst/>
      </c:spPr>
    </c:plotArea>
    <c:legend>
      <c:legendPos val="r"/>
      <c:legendEntry>
        <c:idx val="0"/>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Entry>
      <c:layout>
        <c:manualLayout>
          <c:xMode val="edge"/>
          <c:yMode val="edge"/>
          <c:x val="0.61887249497766517"/>
          <c:y val="0.36192678866013467"/>
          <c:w val="0.29429836592760616"/>
          <c:h val="0.3235048651013118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ocumenttasks/documenttask1.xml><?xml version="1.0" encoding="utf-8"?>
<Tasks xmlns="http://schemas.microsoft.com/office/tasks/2019/documenttasks">
  <Task id="{E9DAB041-17F4-4407-A360-0875A5B78B68}">
    <Anchor>
      <Comment id="{6D1D5BAD-6D12-4445-8225-3A5F7389E904}"/>
    </Anchor>
    <History>
      <Event time="2024-01-23T16:38:50.36" id="{D3AB7205-C636-4930-A803-E4D896A9548C}">
        <Attribution userId="S::Shikha.Srinivas@arup.com::6b0e0030-3b03-4f04-a4c3-0c58337a5955" userName="Shikha Srinivas" userProvider="AD"/>
        <Anchor>
          <Comment id="{9DFF3EB4-8C44-44CE-B041-FF078EB3D7FE}"/>
        </Anchor>
        <Create/>
      </Event>
      <Event time="2024-01-23T16:38:50.36" id="{A8A2C51E-6489-41D4-9407-828062F6F12B}">
        <Attribution userId="S::Shikha.Srinivas@arup.com::6b0e0030-3b03-4f04-a4c3-0c58337a5955" userName="Shikha Srinivas" userProvider="AD"/>
        <Anchor>
          <Comment id="{9DFF3EB4-8C44-44CE-B041-FF078EB3D7FE}"/>
        </Anchor>
        <Assign userId="S::Shikha.Srinivas@arup.com::6b0e0030-3b03-4f04-a4c3-0c58337a5955" userName="Shikha Srinivas" userProvider="AD"/>
      </Event>
      <Event time="2024-01-23T16:38:50.36" id="{53EA0C90-4A59-4D88-93A1-1B32E7AA29E3}">
        <Attribution userId="S::Shikha.Srinivas@arup.com::6b0e0030-3b03-4f04-a4c3-0c58337a5955" userName="Shikha Srinivas" userProvider="AD"/>
        <Anchor>
          <Comment id="{9DFF3EB4-8C44-44CE-B041-FF078EB3D7FE}"/>
        </Anchor>
        <SetTitle title="@Shikha Srinivas to update with Building Decarb"/>
      </Event>
      <Event time="2024-01-23T18:29:27.26" id="{115089A3-3DDF-40F0-9FC7-2B202E0E46C6}">
        <Attribution userId="S::Shikha.Srinivas@arup.com::6b0e0030-3b03-4f04-a4c3-0c58337a5955" userName="Shikha Srinivas" userProvider="AD"/>
        <Progress percentComplete="100"/>
      </Event>
    </History>
  </Task>
</Tasks>
</file>

<file path=xl/documenttasks/documenttask2.xml><?xml version="1.0" encoding="utf-8"?>
<Tasks xmlns="http://schemas.microsoft.com/office/tasks/2019/documenttasks">
  <Task id="{AC5A017B-DF3C-41B8-A9F3-7D18AF09DBD6}">
    <Anchor>
      <Comment id="{6F5D19F0-D377-4E2A-9D4A-78FEA1560F60}"/>
    </Anchor>
    <History>
      <Event time="2024-01-23T16:38:50.36" id="{D3AB7205-C636-4930-A803-E4D896A9548C}">
        <Attribution userId="S::Shikha.Srinivas@arup.com::6b0e0030-3b03-4f04-a4c3-0c58337a5955" userName="Shikha Srinivas" userProvider="AD"/>
        <Anchor>
          <Comment id="{95BAE171-CA34-433E-A9C9-2598C3249200}"/>
        </Anchor>
        <Create/>
      </Event>
      <Event time="2024-01-23T16:38:50.36" id="{A8A2C51E-6489-41D4-9407-828062F6F12B}">
        <Attribution userId="S::Shikha.Srinivas@arup.com::6b0e0030-3b03-4f04-a4c3-0c58337a5955" userName="Shikha Srinivas" userProvider="AD"/>
        <Anchor>
          <Comment id="{95BAE171-CA34-433E-A9C9-2598C3249200}"/>
        </Anchor>
        <Assign userId="S::Shikha.Srinivas@arup.com::6b0e0030-3b03-4f04-a4c3-0c58337a5955" userName="Shikha Srinivas" userProvider="AD"/>
      </Event>
      <Event time="2024-01-23T16:38:50.36" id="{53EA0C90-4A59-4D88-93A1-1B32E7AA29E3}">
        <Attribution userId="S::Shikha.Srinivas@arup.com::6b0e0030-3b03-4f04-a4c3-0c58337a5955" userName="Shikha Srinivas" userProvider="AD"/>
        <Anchor>
          <Comment id="{95BAE171-CA34-433E-A9C9-2598C3249200}"/>
        </Anchor>
        <SetTitle title="@Shikha Srinivas to update with Building Decarb"/>
      </Event>
      <Event time="2024-01-23T18:29:27.26" id="{115089A3-3DDF-40F0-9FC7-2B202E0E46C6}">
        <Attribution userId="S::Shikha.Srinivas@arup.com::6b0e0030-3b03-4f04-a4c3-0c58337a5955" userName="Shikha Srinivas" userProvider="AD"/>
        <Progress percentComplete="100"/>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2270125</xdr:colOff>
      <xdr:row>0</xdr:row>
      <xdr:rowOff>0</xdr:rowOff>
    </xdr:from>
    <xdr:to>
      <xdr:col>13</xdr:col>
      <xdr:colOff>1277063</xdr:colOff>
      <xdr:row>2</xdr:row>
      <xdr:rowOff>1010342</xdr:rowOff>
    </xdr:to>
    <xdr:pic>
      <xdr:nvPicPr>
        <xdr:cNvPr id="5" name="Picture 3">
          <a:extLst>
            <a:ext uri="{FF2B5EF4-FFF2-40B4-BE49-F238E27FC236}">
              <a16:creationId xmlns:a16="http://schemas.microsoft.com/office/drawing/2014/main" id="{65E89B33-2B03-447E-A571-44263ABC50F1}"/>
            </a:ext>
          </a:extLst>
        </xdr:cNvPr>
        <xdr:cNvPicPr>
          <a:picLocks noChangeAspect="1"/>
        </xdr:cNvPicPr>
      </xdr:nvPicPr>
      <xdr:blipFill>
        <a:blip xmlns:r="http://schemas.openxmlformats.org/officeDocument/2006/relationships" r:embed="rId1"/>
        <a:stretch>
          <a:fillRect/>
        </a:stretch>
      </xdr:blipFill>
      <xdr:spPr>
        <a:xfrm>
          <a:off x="20821361" y="0"/>
          <a:ext cx="7583883" cy="1898072"/>
        </a:xfrm>
        <a:prstGeom prst="rect">
          <a:avLst/>
        </a:prstGeom>
      </xdr:spPr>
    </xdr:pic>
    <xdr:clientData/>
  </xdr:twoCellAnchor>
  <xdr:twoCellAnchor>
    <xdr:from>
      <xdr:col>2</xdr:col>
      <xdr:colOff>1566332</xdr:colOff>
      <xdr:row>2</xdr:row>
      <xdr:rowOff>114300</xdr:rowOff>
    </xdr:from>
    <xdr:to>
      <xdr:col>7</xdr:col>
      <xdr:colOff>1523999</xdr:colOff>
      <xdr:row>3</xdr:row>
      <xdr:rowOff>0</xdr:rowOff>
    </xdr:to>
    <xdr:sp macro="" textlink="">
      <xdr:nvSpPr>
        <xdr:cNvPr id="4" name="Arrow: Bent 8">
          <a:extLst>
            <a:ext uri="{FF2B5EF4-FFF2-40B4-BE49-F238E27FC236}">
              <a16:creationId xmlns:a16="http://schemas.microsoft.com/office/drawing/2014/main" id="{C2A090E7-7A11-628C-E9D7-618F086877C3}"/>
            </a:ext>
          </a:extLst>
        </xdr:cNvPr>
        <xdr:cNvSpPr/>
      </xdr:nvSpPr>
      <xdr:spPr>
        <a:xfrm rot="5400000">
          <a:off x="12270315" y="-4409016"/>
          <a:ext cx="1515533" cy="12382500"/>
        </a:xfrm>
        <a:prstGeom prst="bentArrow">
          <a:avLst>
            <a:gd name="adj1" fmla="val 16667"/>
            <a:gd name="adj2" fmla="val 23894"/>
            <a:gd name="adj3" fmla="val 25000"/>
            <a:gd name="adj4" fmla="val 43750"/>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0.66844</cdr:x>
      <cdr:y>0.20576</cdr:y>
    </cdr:from>
    <cdr:to>
      <cdr:x>1</cdr:x>
      <cdr:y>0.8122</cdr:y>
    </cdr:to>
    <cdr:pic>
      <cdr:nvPicPr>
        <cdr:cNvPr id="2" name="chart">
          <a:extLst xmlns:a="http://schemas.openxmlformats.org/drawingml/2006/main">
            <a:ext uri="{FF2B5EF4-FFF2-40B4-BE49-F238E27FC236}">
              <a16:creationId xmlns:a16="http://schemas.microsoft.com/office/drawing/2014/main" id="{EDC648FF-C0BC-1729-840B-1CE29B38009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778438" y="912061"/>
          <a:ext cx="1874182" cy="2688132"/>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0.64396</cdr:x>
      <cdr:y>0.18712</cdr:y>
    </cdr:from>
    <cdr:to>
      <cdr:x>0.95236</cdr:x>
      <cdr:y>0.81399</cdr:y>
    </cdr:to>
    <cdr:pic>
      <cdr:nvPicPr>
        <cdr:cNvPr id="2" name="chart">
          <a:extLst xmlns:a="http://schemas.openxmlformats.org/drawingml/2006/main">
            <a:ext uri="{FF2B5EF4-FFF2-40B4-BE49-F238E27FC236}">
              <a16:creationId xmlns:a16="http://schemas.microsoft.com/office/drawing/2014/main" id="{DDBA1937-4EE9-5FAD-C312-C2C21B9E0F0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609455" y="910275"/>
          <a:ext cx="2207525" cy="3049520"/>
        </a:xfrm>
        <a:prstGeom xmlns:a="http://schemas.openxmlformats.org/drawingml/2006/main" prst="rect">
          <a:avLst/>
        </a:prstGeom>
      </cdr:spPr>
    </cdr:pic>
  </cdr:relSizeAnchor>
</c:userShapes>
</file>

<file path=xl/drawings/drawing12.xml><?xml version="1.0" encoding="utf-8"?>
<xdr:wsDr xmlns:xdr="http://schemas.openxmlformats.org/drawingml/2006/spreadsheetDrawing" xmlns:a="http://schemas.openxmlformats.org/drawingml/2006/main">
  <xdr:twoCellAnchor editAs="oneCell">
    <xdr:from>
      <xdr:col>10</xdr:col>
      <xdr:colOff>340995</xdr:colOff>
      <xdr:row>59</xdr:row>
      <xdr:rowOff>43817</xdr:rowOff>
    </xdr:from>
    <xdr:to>
      <xdr:col>17</xdr:col>
      <xdr:colOff>246861</xdr:colOff>
      <xdr:row>75</xdr:row>
      <xdr:rowOff>39130</xdr:rowOff>
    </xdr:to>
    <xdr:pic>
      <xdr:nvPicPr>
        <xdr:cNvPr id="6" name="Picture 1">
          <a:extLst>
            <a:ext uri="{FF2B5EF4-FFF2-40B4-BE49-F238E27FC236}">
              <a16:creationId xmlns:a16="http://schemas.microsoft.com/office/drawing/2014/main" id="{EE3FF8DD-3AA9-3E79-E933-B8B08616AD19}"/>
            </a:ext>
          </a:extLst>
        </xdr:cNvPr>
        <xdr:cNvPicPr>
          <a:picLocks noChangeAspect="1"/>
        </xdr:cNvPicPr>
      </xdr:nvPicPr>
      <xdr:blipFill>
        <a:blip xmlns:r="http://schemas.openxmlformats.org/officeDocument/2006/relationships" r:embed="rId1"/>
        <a:stretch>
          <a:fillRect/>
        </a:stretch>
      </xdr:blipFill>
      <xdr:spPr>
        <a:xfrm>
          <a:off x="15580995" y="11161397"/>
          <a:ext cx="4830291" cy="365100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176660</xdr:colOff>
      <xdr:row>1</xdr:row>
      <xdr:rowOff>194389</xdr:rowOff>
    </xdr:from>
    <xdr:to>
      <xdr:col>18</xdr:col>
      <xdr:colOff>19235</xdr:colOff>
      <xdr:row>15</xdr:row>
      <xdr:rowOff>172642</xdr:rowOff>
    </xdr:to>
    <xdr:pic>
      <xdr:nvPicPr>
        <xdr:cNvPr id="15" name="Picture 1">
          <a:extLst>
            <a:ext uri="{FF2B5EF4-FFF2-40B4-BE49-F238E27FC236}">
              <a16:creationId xmlns:a16="http://schemas.microsoft.com/office/drawing/2014/main" id="{CC9A78E7-091E-4E93-9225-CBA4E4747DF5}"/>
            </a:ext>
          </a:extLst>
        </xdr:cNvPr>
        <xdr:cNvPicPr>
          <a:picLocks noChangeAspect="1"/>
        </xdr:cNvPicPr>
      </xdr:nvPicPr>
      <xdr:blipFill>
        <a:blip xmlns:r="http://schemas.openxmlformats.org/officeDocument/2006/relationships" r:embed="rId1"/>
        <a:stretch>
          <a:fillRect/>
        </a:stretch>
      </xdr:blipFill>
      <xdr:spPr>
        <a:xfrm>
          <a:off x="15312192" y="483212"/>
          <a:ext cx="5894760" cy="44702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34290</xdr:colOff>
      <xdr:row>35</xdr:row>
      <xdr:rowOff>43815</xdr:rowOff>
    </xdr:from>
    <xdr:to>
      <xdr:col>1</xdr:col>
      <xdr:colOff>1657350</xdr:colOff>
      <xdr:row>49</xdr:row>
      <xdr:rowOff>130444</xdr:rowOff>
    </xdr:to>
    <xdr:pic>
      <xdr:nvPicPr>
        <xdr:cNvPr id="10" name="Picture 1">
          <a:extLst>
            <a:ext uri="{FF2B5EF4-FFF2-40B4-BE49-F238E27FC236}">
              <a16:creationId xmlns:a16="http://schemas.microsoft.com/office/drawing/2014/main" id="{FE0D49B8-E350-25D5-31AB-6E6510ECE975}"/>
            </a:ext>
          </a:extLst>
        </xdr:cNvPr>
        <xdr:cNvPicPr>
          <a:picLocks noChangeAspect="1"/>
        </xdr:cNvPicPr>
      </xdr:nvPicPr>
      <xdr:blipFill>
        <a:blip xmlns:r="http://schemas.openxmlformats.org/officeDocument/2006/relationships" r:embed="rId1"/>
        <a:stretch>
          <a:fillRect/>
        </a:stretch>
      </xdr:blipFill>
      <xdr:spPr>
        <a:xfrm>
          <a:off x="34290" y="8644890"/>
          <a:ext cx="3272790" cy="25459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190500</xdr:colOff>
      <xdr:row>47</xdr:row>
      <xdr:rowOff>128868</xdr:rowOff>
    </xdr:from>
    <xdr:to>
      <xdr:col>9</xdr:col>
      <xdr:colOff>416950</xdr:colOff>
      <xdr:row>75</xdr:row>
      <xdr:rowOff>53031</xdr:rowOff>
    </xdr:to>
    <xdr:graphicFrame macro="">
      <xdr:nvGraphicFramePr>
        <xdr:cNvPr id="2" name="Chart 1">
          <a:extLst>
            <a:ext uri="{FF2B5EF4-FFF2-40B4-BE49-F238E27FC236}">
              <a16:creationId xmlns:a16="http://schemas.microsoft.com/office/drawing/2014/main" id="{FBF2236C-0751-197F-9977-67A8BBDF8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54066</xdr:rowOff>
    </xdr:from>
    <xdr:to>
      <xdr:col>2</xdr:col>
      <xdr:colOff>2655298</xdr:colOff>
      <xdr:row>22</xdr:row>
      <xdr:rowOff>38190</xdr:rowOff>
    </xdr:to>
    <xdr:graphicFrame macro="">
      <xdr:nvGraphicFramePr>
        <xdr:cNvPr id="10" name="Chart 18">
          <a:extLst>
            <a:ext uri="{FF2B5EF4-FFF2-40B4-BE49-F238E27FC236}">
              <a16:creationId xmlns:a16="http://schemas.microsoft.com/office/drawing/2014/main" id="{F7397D5A-4B80-4346-A8B9-C77A43EB20F8}"/>
            </a:ext>
            <a:ext uri="{147F2762-F138-4A5C-976F-8EAC2B608ADB}">
              <a16:predDERef xmlns:a16="http://schemas.microsoft.com/office/drawing/2014/main" pred="{5381F319-082C-684A-3D85-E03349355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2572476</xdr:colOff>
      <xdr:row>1</xdr:row>
      <xdr:rowOff>0</xdr:rowOff>
    </xdr:from>
    <xdr:to>
      <xdr:col>5</xdr:col>
      <xdr:colOff>2541542</xdr:colOff>
      <xdr:row>22</xdr:row>
      <xdr:rowOff>71845</xdr:rowOff>
    </xdr:to>
    <xdr:grpSp>
      <xdr:nvGrpSpPr>
        <xdr:cNvPr id="11" name="Group 13">
          <a:extLst>
            <a:ext uri="{FF2B5EF4-FFF2-40B4-BE49-F238E27FC236}">
              <a16:creationId xmlns:a16="http://schemas.microsoft.com/office/drawing/2014/main" id="{6FBDFB78-68C5-47D5-AC6D-172416CC3E01}"/>
            </a:ext>
          </a:extLst>
        </xdr:cNvPr>
        <xdr:cNvGrpSpPr/>
      </xdr:nvGrpSpPr>
      <xdr:grpSpPr>
        <a:xfrm>
          <a:off x="8206412" y="459362"/>
          <a:ext cx="8419970" cy="5442323"/>
          <a:chOff x="11423046" y="-28635"/>
          <a:chExt cx="5560435" cy="3264418"/>
        </a:xfrm>
      </xdr:grpSpPr>
      <xdr:graphicFrame macro="">
        <xdr:nvGraphicFramePr>
          <xdr:cNvPr id="12" name="Chart 20">
            <a:extLst>
              <a:ext uri="{FF2B5EF4-FFF2-40B4-BE49-F238E27FC236}">
                <a16:creationId xmlns:a16="http://schemas.microsoft.com/office/drawing/2014/main" id="{DBBC0F97-A2C0-0C21-A098-C3A4DF50D9B1}"/>
              </a:ext>
            </a:extLst>
          </xdr:cNvPr>
          <xdr:cNvGraphicFramePr>
            <a:graphicFrameLocks/>
          </xdr:cNvGraphicFramePr>
        </xdr:nvGraphicFramePr>
        <xdr:xfrm>
          <a:off x="11423046" y="-28635"/>
          <a:ext cx="5560435" cy="3264418"/>
        </xdr:xfrm>
        <a:graphic>
          <a:graphicData uri="http://schemas.openxmlformats.org/drawingml/2006/chart">
            <c:chart xmlns:c="http://schemas.openxmlformats.org/drawingml/2006/chart" xmlns:r="http://schemas.openxmlformats.org/officeDocument/2006/relationships" r:id="rId2"/>
          </a:graphicData>
        </a:graphic>
      </xdr:graphicFrame>
      <xdr:sp macro="" textlink="'Tribal Baseline Graphs_full'!B36">
        <xdr:nvSpPr>
          <xdr:cNvPr id="13" name="TextBox 7">
            <a:extLst>
              <a:ext uri="{FF2B5EF4-FFF2-40B4-BE49-F238E27FC236}">
                <a16:creationId xmlns:a16="http://schemas.microsoft.com/office/drawing/2014/main" id="{3BCF3509-6DEB-8AC8-04AC-C1142A05FB37}"/>
              </a:ext>
            </a:extLst>
          </xdr:cNvPr>
          <xdr:cNvSpPr txBox="1"/>
        </xdr:nvSpPr>
        <xdr:spPr>
          <a:xfrm>
            <a:off x="13549035" y="2892560"/>
            <a:ext cx="742604" cy="305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2C00FFF-1F96-4F33-B766-28E732FE18EF}" type="TxLink">
              <a:rPr lang="en-US" sz="2000" b="0" i="0" u="none" strike="noStrike">
                <a:solidFill>
                  <a:srgbClr val="000000"/>
                </a:solidFill>
                <a:latin typeface="Times New Roman" panose="02020603050405020304" pitchFamily="18" charset="0"/>
                <a:cs typeface="Times New Roman" panose="02020603050405020304" pitchFamily="18" charset="0"/>
              </a:rPr>
              <a:pPr algn="ctr"/>
              <a:t>0</a:t>
            </a:fld>
            <a:endParaRPr lang="en-US" sz="1600">
              <a:latin typeface="Times New Roman" panose="02020603050405020304" pitchFamily="18" charset="0"/>
              <a:cs typeface="Times New Roman" panose="02020603050405020304" pitchFamily="18" charset="0"/>
            </a:endParaRPr>
          </a:p>
        </xdr:txBody>
      </xdr:sp>
      <xdr:sp macro="" textlink="'Tribal Baseline Graphs_full'!B37">
        <xdr:nvSpPr>
          <xdr:cNvPr id="14" name="TextBox 8">
            <a:extLst>
              <a:ext uri="{FF2B5EF4-FFF2-40B4-BE49-F238E27FC236}">
                <a16:creationId xmlns:a16="http://schemas.microsoft.com/office/drawing/2014/main" id="{5732685B-9455-4FCC-A3F8-12E49953EFA6}"/>
              </a:ext>
            </a:extLst>
          </xdr:cNvPr>
          <xdr:cNvSpPr txBox="1"/>
        </xdr:nvSpPr>
        <xdr:spPr>
          <a:xfrm>
            <a:off x="14649101" y="2892078"/>
            <a:ext cx="743297" cy="313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E50AD91-90D6-4C25-AF98-6E52CDC00DB3}" type="TxLink">
              <a:rPr lang="en-US" sz="2000" b="0" i="0" u="none" strike="noStrike">
                <a:solidFill>
                  <a:srgbClr val="000000"/>
                </a:solidFill>
                <a:latin typeface="Times New Roman" panose="02020603050405020304" pitchFamily="18" charset="0"/>
                <a:cs typeface="Times New Roman" panose="02020603050405020304" pitchFamily="18" charset="0"/>
              </a:rPr>
              <a:pPr algn="ctr"/>
              <a:t>0</a:t>
            </a:fld>
            <a:endParaRPr lang="en-US" sz="1600">
              <a:latin typeface="Times New Roman" panose="02020603050405020304" pitchFamily="18" charset="0"/>
              <a:cs typeface="Times New Roman" panose="02020603050405020304" pitchFamily="18" charset="0"/>
            </a:endParaRPr>
          </a:p>
        </xdr:txBody>
      </xdr:sp>
      <xdr:sp macro="" textlink="'Tribal Baseline Graphs_full'!B35">
        <xdr:nvSpPr>
          <xdr:cNvPr id="15" name="TextBox 6">
            <a:extLst>
              <a:ext uri="{FF2B5EF4-FFF2-40B4-BE49-F238E27FC236}">
                <a16:creationId xmlns:a16="http://schemas.microsoft.com/office/drawing/2014/main" id="{1E8FDDA1-5A11-5F03-5B5D-C6872BA94308}"/>
              </a:ext>
            </a:extLst>
          </xdr:cNvPr>
          <xdr:cNvSpPr txBox="1"/>
        </xdr:nvSpPr>
        <xdr:spPr>
          <a:xfrm>
            <a:off x="12451640" y="2894058"/>
            <a:ext cx="732502" cy="2458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0A1BAE4-16A4-4977-8D91-1D784A29D339}" type="TxLink">
              <a:rPr lang="en-US" sz="2000" b="0" i="0" u="none" strike="noStrike">
                <a:solidFill>
                  <a:srgbClr val="000000"/>
                </a:solidFill>
                <a:latin typeface="Times New Roman" panose="02020603050405020304" pitchFamily="18" charset="0"/>
                <a:cs typeface="Times New Roman" panose="02020603050405020304" pitchFamily="18" charset="0"/>
              </a:rPr>
              <a:pPr algn="ctr"/>
              <a:t>0</a:t>
            </a:fld>
            <a:endParaRPr lang="en-US" sz="1600">
              <a:solidFill>
                <a:sysClr val="windowText" lastClr="000000"/>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10585</xdr:rowOff>
    </xdr:from>
    <xdr:to>
      <xdr:col>2</xdr:col>
      <xdr:colOff>1699200</xdr:colOff>
      <xdr:row>52</xdr:row>
      <xdr:rowOff>80917</xdr:rowOff>
    </xdr:to>
    <xdr:graphicFrame macro="">
      <xdr:nvGraphicFramePr>
        <xdr:cNvPr id="18" name="Chart 18">
          <a:extLst>
            <a:ext uri="{FF2B5EF4-FFF2-40B4-BE49-F238E27FC236}">
              <a16:creationId xmlns:a16="http://schemas.microsoft.com/office/drawing/2014/main" id="{D8490E84-6FC9-4E89-B9FE-D31705838E0A}"/>
            </a:ext>
            <a:ext uri="{147F2762-F138-4A5C-976F-8EAC2B608ADB}">
              <a16:predDERef xmlns:a16="http://schemas.microsoft.com/office/drawing/2014/main" pred="{5381F319-082C-684A-3D85-E03349355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2634769</xdr:colOff>
      <xdr:row>23</xdr:row>
      <xdr:rowOff>0</xdr:rowOff>
    </xdr:from>
    <xdr:to>
      <xdr:col>5</xdr:col>
      <xdr:colOff>2429785</xdr:colOff>
      <xdr:row>54</xdr:row>
      <xdr:rowOff>7802</xdr:rowOff>
    </xdr:to>
    <xdr:graphicFrame macro="">
      <xdr:nvGraphicFramePr>
        <xdr:cNvPr id="19" name="Chart 18">
          <a:extLst>
            <a:ext uri="{FF2B5EF4-FFF2-40B4-BE49-F238E27FC236}">
              <a16:creationId xmlns:a16="http://schemas.microsoft.com/office/drawing/2014/main" id="{3F921466-06E0-4685-9202-B4C3EF607275}"/>
            </a:ext>
            <a:ext uri="{147F2762-F138-4A5C-976F-8EAC2B608ADB}">
              <a16:predDERef xmlns:a16="http://schemas.microsoft.com/office/drawing/2014/main" pred="{5381F319-082C-684A-3D85-E03349355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0.64779</cdr:x>
      <cdr:y>0.20576</cdr:y>
    </cdr:from>
    <cdr:to>
      <cdr:x>0.97935</cdr:x>
      <cdr:y>0.8122</cdr:y>
    </cdr:to>
    <cdr:pic>
      <cdr:nvPicPr>
        <cdr:cNvPr id="2" name="chart">
          <a:extLst xmlns:a="http://schemas.openxmlformats.org/drawingml/2006/main">
            <a:ext uri="{FF2B5EF4-FFF2-40B4-BE49-F238E27FC236}">
              <a16:creationId xmlns:a16="http://schemas.microsoft.com/office/drawing/2014/main" id="{EDC648FF-C0BC-1729-840B-1CE29B38009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430294" y="762129"/>
          <a:ext cx="1755724" cy="2246294"/>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0.04888</cdr:x>
      <cdr:y>0.83697</cdr:y>
    </cdr:from>
    <cdr:to>
      <cdr:x>0.19149</cdr:x>
      <cdr:y>0.96915</cdr:y>
    </cdr:to>
    <cdr:sp macro="" textlink="">
      <cdr:nvSpPr>
        <cdr:cNvPr id="3" name="TextBox 2">
          <a:extLst xmlns:a="http://schemas.openxmlformats.org/drawingml/2006/main">
            <a:ext uri="{FF2B5EF4-FFF2-40B4-BE49-F238E27FC236}">
              <a16:creationId xmlns:a16="http://schemas.microsoft.com/office/drawing/2014/main" id="{C7C5DC73-237C-E653-B213-1EECD866F93E}"/>
            </a:ext>
          </a:extLst>
        </cdr:cNvPr>
        <cdr:cNvSpPr txBox="1"/>
      </cdr:nvSpPr>
      <cdr:spPr>
        <a:xfrm xmlns:a="http://schemas.openxmlformats.org/drawingml/2006/main">
          <a:off x="439464" y="4737101"/>
          <a:ext cx="1282150" cy="7481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800" baseline="0">
              <a:latin typeface="Times New Roman" panose="02020603050405020304" pitchFamily="18" charset="0"/>
              <a:cs typeface="Times New Roman" panose="02020603050405020304" pitchFamily="18" charset="0"/>
            </a:rPr>
            <a:t># </a:t>
          </a:r>
          <a:r>
            <a:rPr lang="en-US" sz="2000" baseline="0">
              <a:latin typeface="Times New Roman" panose="02020603050405020304" pitchFamily="18" charset="0"/>
              <a:cs typeface="Times New Roman" panose="02020603050405020304" pitchFamily="18" charset="0"/>
            </a:rPr>
            <a:t>of</a:t>
          </a:r>
          <a:r>
            <a:rPr lang="en-US" sz="1800" baseline="0">
              <a:latin typeface="Times New Roman" panose="02020603050405020304" pitchFamily="18" charset="0"/>
              <a:cs typeface="Times New Roman" panose="02020603050405020304" pitchFamily="18" charset="0"/>
            </a:rPr>
            <a:t> Buildings:</a:t>
          </a:r>
          <a:endParaRPr lang="en-US" sz="1800">
            <a:latin typeface="Times New Roman" panose="02020603050405020304" pitchFamily="18" charset="0"/>
            <a:cs typeface="Times New Roman" panose="02020603050405020304" pitchFamily="18"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0.66844</cdr:x>
      <cdr:y>0.39398</cdr:y>
    </cdr:from>
    <cdr:to>
      <cdr:x>1</cdr:x>
      <cdr:y>0.61712</cdr:y>
    </cdr:to>
    <cdr:pic>
      <cdr:nvPicPr>
        <cdr:cNvPr id="2" name="chart">
          <a:extLst xmlns:a="http://schemas.openxmlformats.org/drawingml/2006/main">
            <a:ext uri="{FF2B5EF4-FFF2-40B4-BE49-F238E27FC236}">
              <a16:creationId xmlns:a16="http://schemas.microsoft.com/office/drawing/2014/main" id="{EDC648FF-C0BC-1729-840B-1CE29B38009A}"/>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srcRect xmlns:a="http://schemas.openxmlformats.org/drawingml/2006/main" b="63206"/>
        <a:stretch xmlns:a="http://schemas.openxmlformats.org/drawingml/2006/main"/>
      </cdr:blipFill>
      <cdr:spPr>
        <a:xfrm xmlns:a="http://schemas.openxmlformats.org/drawingml/2006/main">
          <a:off x="3778438" y="1737420"/>
          <a:ext cx="1874182" cy="984008"/>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15</xdr:col>
      <xdr:colOff>557777</xdr:colOff>
      <xdr:row>0</xdr:row>
      <xdr:rowOff>125728</xdr:rowOff>
    </xdr:from>
    <xdr:to>
      <xdr:col>22</xdr:col>
      <xdr:colOff>586882</xdr:colOff>
      <xdr:row>16</xdr:row>
      <xdr:rowOff>121792</xdr:rowOff>
    </xdr:to>
    <xdr:grpSp>
      <xdr:nvGrpSpPr>
        <xdr:cNvPr id="675" name="Group 13">
          <a:extLst>
            <a:ext uri="{FF2B5EF4-FFF2-40B4-BE49-F238E27FC236}">
              <a16:creationId xmlns:a16="http://schemas.microsoft.com/office/drawing/2014/main" id="{5381F319-082C-684A-3D85-E03349355C3C}"/>
            </a:ext>
          </a:extLst>
        </xdr:cNvPr>
        <xdr:cNvGrpSpPr/>
      </xdr:nvGrpSpPr>
      <xdr:grpSpPr>
        <a:xfrm>
          <a:off x="14074206" y="125728"/>
          <a:ext cx="6410855" cy="4459207"/>
          <a:chOff x="11423046" y="-1166"/>
          <a:chExt cx="5560435" cy="3264418"/>
        </a:xfrm>
      </xdr:grpSpPr>
      <xdr:graphicFrame macro="">
        <xdr:nvGraphicFramePr>
          <xdr:cNvPr id="676" name="Chart 20">
            <a:extLst>
              <a:ext uri="{FF2B5EF4-FFF2-40B4-BE49-F238E27FC236}">
                <a16:creationId xmlns:a16="http://schemas.microsoft.com/office/drawing/2014/main" id="{59795841-FCA4-4FC8-9637-760C53525A17}"/>
              </a:ext>
            </a:extLst>
          </xdr:cNvPr>
          <xdr:cNvGraphicFramePr>
            <a:graphicFrameLocks/>
          </xdr:cNvGraphicFramePr>
        </xdr:nvGraphicFramePr>
        <xdr:xfrm>
          <a:off x="11423046" y="-1166"/>
          <a:ext cx="5560435" cy="3264418"/>
        </xdr:xfrm>
        <a:graphic>
          <a:graphicData uri="http://schemas.openxmlformats.org/drawingml/2006/chart">
            <c:chart xmlns:c="http://schemas.openxmlformats.org/drawingml/2006/chart" xmlns:r="http://schemas.openxmlformats.org/officeDocument/2006/relationships" r:id="rId1"/>
          </a:graphicData>
        </a:graphic>
      </xdr:graphicFrame>
      <xdr:sp macro="" textlink="$B$35">
        <xdr:nvSpPr>
          <xdr:cNvPr id="677" name="TextBox 6">
            <a:extLst>
              <a:ext uri="{FF2B5EF4-FFF2-40B4-BE49-F238E27FC236}">
                <a16:creationId xmlns:a16="http://schemas.microsoft.com/office/drawing/2014/main" id="{35119073-51F1-CFE0-06B2-2CB0E2B76162}"/>
              </a:ext>
            </a:extLst>
          </xdr:cNvPr>
          <xdr:cNvSpPr txBox="1"/>
        </xdr:nvSpPr>
        <xdr:spPr>
          <a:xfrm>
            <a:off x="12451640" y="2834584"/>
            <a:ext cx="732502" cy="2459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7D41AB90-6C4C-4BAD-8113-F26BB2539DBC}" type="TxLink">
              <a:rPr lang="en-US" sz="1400" b="0" i="0" u="none" strike="noStrike">
                <a:solidFill>
                  <a:srgbClr val="000000"/>
                </a:solidFill>
                <a:latin typeface="Times New Roman" panose="02020603050405020304" pitchFamily="18" charset="0"/>
                <a:cs typeface="Times New Roman" panose="02020603050405020304" pitchFamily="18" charset="0"/>
              </a:rPr>
              <a:pPr algn="ctr"/>
              <a:t>0</a:t>
            </a:fld>
            <a:endParaRPr lang="en-US" sz="1100">
              <a:latin typeface="Times New Roman" panose="02020603050405020304" pitchFamily="18" charset="0"/>
              <a:cs typeface="Times New Roman" panose="02020603050405020304" pitchFamily="18" charset="0"/>
            </a:endParaRPr>
          </a:p>
        </xdr:txBody>
      </xdr:sp>
      <xdr:sp macro="" textlink="$B$36">
        <xdr:nvSpPr>
          <xdr:cNvPr id="678" name="TextBox 7">
            <a:extLst>
              <a:ext uri="{FF2B5EF4-FFF2-40B4-BE49-F238E27FC236}">
                <a16:creationId xmlns:a16="http://schemas.microsoft.com/office/drawing/2014/main" id="{B1A544A0-BE11-B85F-2CDA-F58FC4C3B4CC}"/>
              </a:ext>
            </a:extLst>
          </xdr:cNvPr>
          <xdr:cNvSpPr txBox="1"/>
        </xdr:nvSpPr>
        <xdr:spPr>
          <a:xfrm>
            <a:off x="13549035" y="2840878"/>
            <a:ext cx="742604" cy="3056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9229E3B9-BFB3-4D63-BC9A-317AD6A7C475}" type="TxLink">
              <a:rPr lang="en-US" sz="1400" b="0" i="0" u="none" strike="noStrike">
                <a:solidFill>
                  <a:srgbClr val="000000"/>
                </a:solidFill>
                <a:latin typeface="Times New Roman" panose="02020603050405020304" pitchFamily="18" charset="0"/>
                <a:cs typeface="Times New Roman" panose="02020603050405020304" pitchFamily="18" charset="0"/>
              </a:rPr>
              <a:pPr algn="ctr"/>
              <a:t>0</a:t>
            </a:fld>
            <a:endParaRPr lang="en-US" sz="1100">
              <a:latin typeface="Times New Roman" panose="02020603050405020304" pitchFamily="18" charset="0"/>
              <a:cs typeface="Times New Roman" panose="02020603050405020304" pitchFamily="18" charset="0"/>
            </a:endParaRPr>
          </a:p>
        </xdr:txBody>
      </xdr:sp>
      <xdr:sp macro="" textlink="$B$37">
        <xdr:nvSpPr>
          <xdr:cNvPr id="679" name="TextBox 8">
            <a:extLst>
              <a:ext uri="{FF2B5EF4-FFF2-40B4-BE49-F238E27FC236}">
                <a16:creationId xmlns:a16="http://schemas.microsoft.com/office/drawing/2014/main" id="{6C8DD1A3-4B2A-017A-FEE8-4C60BD6F47A9}"/>
              </a:ext>
            </a:extLst>
          </xdr:cNvPr>
          <xdr:cNvSpPr txBox="1"/>
        </xdr:nvSpPr>
        <xdr:spPr>
          <a:xfrm>
            <a:off x="14649101" y="2832603"/>
            <a:ext cx="743297" cy="3138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AD8AC59-A6D4-4161-BEC5-C76C76053DF4}" type="TxLink">
              <a:rPr lang="en-US" sz="1400" b="0" i="0" u="none" strike="noStrike">
                <a:solidFill>
                  <a:srgbClr val="000000"/>
                </a:solidFill>
                <a:latin typeface="Times New Roman" panose="02020603050405020304" pitchFamily="18" charset="0"/>
                <a:cs typeface="Times New Roman" panose="02020603050405020304" pitchFamily="18" charset="0"/>
              </a:rPr>
              <a:pPr algn="ctr"/>
              <a:t>0</a:t>
            </a:fld>
            <a:endParaRPr lang="en-US" sz="1100">
              <a:latin typeface="Times New Roman" panose="02020603050405020304" pitchFamily="18" charset="0"/>
              <a:cs typeface="Times New Roman" panose="02020603050405020304" pitchFamily="18" charset="0"/>
            </a:endParaRPr>
          </a:p>
        </xdr:txBody>
      </xdr:sp>
    </xdr:grpSp>
    <xdr:clientData/>
  </xdr:twoCellAnchor>
  <xdr:twoCellAnchor>
    <xdr:from>
      <xdr:col>8</xdr:col>
      <xdr:colOff>666089</xdr:colOff>
      <xdr:row>21</xdr:row>
      <xdr:rowOff>44620</xdr:rowOff>
    </xdr:from>
    <xdr:to>
      <xdr:col>11</xdr:col>
      <xdr:colOff>279347</xdr:colOff>
      <xdr:row>24</xdr:row>
      <xdr:rowOff>0</xdr:rowOff>
    </xdr:to>
    <xdr:sp macro="" textlink="">
      <xdr:nvSpPr>
        <xdr:cNvPr id="27" name="TextBox 5">
          <a:extLst>
            <a:ext uri="{FF2B5EF4-FFF2-40B4-BE49-F238E27FC236}">
              <a16:creationId xmlns:a16="http://schemas.microsoft.com/office/drawing/2014/main" id="{338DF26A-79B9-76FF-5A92-770B4D009D6A}"/>
            </a:ext>
          </a:extLst>
        </xdr:cNvPr>
        <xdr:cNvSpPr txBox="1"/>
      </xdr:nvSpPr>
      <xdr:spPr>
        <a:xfrm>
          <a:off x="9955232" y="5460263"/>
          <a:ext cx="1708758" cy="66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solidFill>
                <a:schemeClr val="accent1">
                  <a:lumMod val="75000"/>
                </a:schemeClr>
              </a:solidFill>
              <a:latin typeface="Times New Roman" panose="02020603050405020304" pitchFamily="18" charset="0"/>
              <a:cs typeface="Times New Roman" panose="02020603050405020304" pitchFamily="18" charset="0"/>
            </a:rPr>
            <a:t>Total</a:t>
          </a:r>
          <a:r>
            <a:rPr lang="en-US" sz="1600">
              <a:solidFill>
                <a:schemeClr val="accent1">
                  <a:lumMod val="75000"/>
                </a:schemeClr>
              </a:solidFill>
              <a:latin typeface="Times New Roman" panose="02020603050405020304" pitchFamily="18" charset="0"/>
              <a:cs typeface="Times New Roman" panose="02020603050405020304" pitchFamily="18" charset="0"/>
            </a:rPr>
            <a:t> </a:t>
          </a:r>
          <a:r>
            <a:rPr lang="en-US" sz="1800">
              <a:solidFill>
                <a:schemeClr val="accent1">
                  <a:lumMod val="75000"/>
                </a:schemeClr>
              </a:solidFill>
              <a:latin typeface="Times New Roman" panose="02020603050405020304" pitchFamily="18" charset="0"/>
              <a:cs typeface="Times New Roman" panose="02020603050405020304" pitchFamily="18" charset="0"/>
            </a:rPr>
            <a:t>Building</a:t>
          </a:r>
          <a:br>
            <a:rPr lang="en-US" sz="1800">
              <a:solidFill>
                <a:schemeClr val="accent1">
                  <a:lumMod val="75000"/>
                </a:schemeClr>
              </a:solidFill>
              <a:latin typeface="Times New Roman" panose="02020603050405020304" pitchFamily="18" charset="0"/>
              <a:cs typeface="Times New Roman" panose="02020603050405020304" pitchFamily="18" charset="0"/>
            </a:rPr>
          </a:br>
          <a:r>
            <a:rPr lang="en-US" sz="1800">
              <a:solidFill>
                <a:schemeClr val="accent1">
                  <a:lumMod val="75000"/>
                </a:schemeClr>
              </a:solidFill>
              <a:latin typeface="Times New Roman" panose="02020603050405020304" pitchFamily="18" charset="0"/>
              <a:cs typeface="Times New Roman" panose="02020603050405020304" pitchFamily="18" charset="0"/>
            </a:rPr>
            <a:t>Emissions</a:t>
          </a:r>
          <a:endParaRPr lang="en-US" sz="1600">
            <a:solidFill>
              <a:schemeClr val="accent1">
                <a:lumMod val="75000"/>
              </a:schemeClr>
            </a:solidFill>
            <a:latin typeface="Times New Roman" panose="02020603050405020304" pitchFamily="18" charset="0"/>
            <a:cs typeface="Times New Roman" panose="02020603050405020304" pitchFamily="18" charset="0"/>
          </a:endParaRPr>
        </a:p>
      </xdr:txBody>
    </xdr:sp>
    <xdr:clientData/>
  </xdr:twoCellAnchor>
  <xdr:twoCellAnchor>
    <xdr:from>
      <xdr:col>3</xdr:col>
      <xdr:colOff>386817</xdr:colOff>
      <xdr:row>33</xdr:row>
      <xdr:rowOff>44632</xdr:rowOff>
    </xdr:from>
    <xdr:to>
      <xdr:col>6</xdr:col>
      <xdr:colOff>43907</xdr:colOff>
      <xdr:row>36</xdr:row>
      <xdr:rowOff>51889</xdr:rowOff>
    </xdr:to>
    <xdr:sp macro="" textlink="">
      <xdr:nvSpPr>
        <xdr:cNvPr id="28" name="TextBox 6">
          <a:extLst>
            <a:ext uri="{FF2B5EF4-FFF2-40B4-BE49-F238E27FC236}">
              <a16:creationId xmlns:a16="http://schemas.microsoft.com/office/drawing/2014/main" id="{1E6627B7-DCA7-3BE7-8E76-057365630260}"/>
            </a:ext>
          </a:extLst>
        </xdr:cNvPr>
        <xdr:cNvSpPr txBox="1"/>
      </xdr:nvSpPr>
      <xdr:spPr>
        <a:xfrm>
          <a:off x="6183460" y="8299632"/>
          <a:ext cx="1752590" cy="941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solidFill>
                <a:schemeClr val="accent3">
                  <a:lumMod val="75000"/>
                </a:schemeClr>
              </a:solidFill>
              <a:latin typeface="Times New Roman" panose="02020603050405020304" pitchFamily="18" charset="0"/>
              <a:cs typeface="Times New Roman" panose="02020603050405020304" pitchFamily="18" charset="0"/>
            </a:rPr>
            <a:t>Total Transportation</a:t>
          </a:r>
        </a:p>
        <a:p>
          <a:pPr algn="ctr"/>
          <a:r>
            <a:rPr lang="en-US" sz="1800">
              <a:solidFill>
                <a:schemeClr val="accent3">
                  <a:lumMod val="75000"/>
                </a:schemeClr>
              </a:solidFill>
              <a:latin typeface="Times New Roman" panose="02020603050405020304" pitchFamily="18" charset="0"/>
              <a:cs typeface="Times New Roman" panose="02020603050405020304" pitchFamily="18" charset="0"/>
            </a:rPr>
            <a:t>Emissions</a:t>
          </a:r>
        </a:p>
      </xdr:txBody>
    </xdr:sp>
    <xdr:clientData/>
  </xdr:twoCellAnchor>
  <xdr:twoCellAnchor>
    <xdr:from>
      <xdr:col>4</xdr:col>
      <xdr:colOff>31204</xdr:colOff>
      <xdr:row>37</xdr:row>
      <xdr:rowOff>68036</xdr:rowOff>
    </xdr:from>
    <xdr:to>
      <xdr:col>12</xdr:col>
      <xdr:colOff>625927</xdr:colOff>
      <xdr:row>61</xdr:row>
      <xdr:rowOff>179960</xdr:rowOff>
    </xdr:to>
    <xdr:graphicFrame macro="">
      <xdr:nvGraphicFramePr>
        <xdr:cNvPr id="2" name="Chart 18">
          <a:extLst>
            <a:ext uri="{FF2B5EF4-FFF2-40B4-BE49-F238E27FC236}">
              <a16:creationId xmlns:a16="http://schemas.microsoft.com/office/drawing/2014/main" id="{FF1CF2EE-88A0-4104-AC9B-22DED385BEE7}"/>
            </a:ext>
            <a:ext uri="{147F2762-F138-4A5C-976F-8EAC2B608ADB}">
              <a16:predDERef xmlns:a16="http://schemas.microsoft.com/office/drawing/2014/main" pred="{5381F319-082C-684A-3D85-E03349355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392703</xdr:colOff>
      <xdr:row>0</xdr:row>
      <xdr:rowOff>240779</xdr:rowOff>
    </xdr:from>
    <xdr:to>
      <xdr:col>14</xdr:col>
      <xdr:colOff>216444</xdr:colOff>
      <xdr:row>36</xdr:row>
      <xdr:rowOff>165826</xdr:rowOff>
    </xdr:to>
    <xdr:grpSp>
      <xdr:nvGrpSpPr>
        <xdr:cNvPr id="8" name="Group 7">
          <a:extLst>
            <a:ext uri="{FF2B5EF4-FFF2-40B4-BE49-F238E27FC236}">
              <a16:creationId xmlns:a16="http://schemas.microsoft.com/office/drawing/2014/main" id="{8F2D8761-BA7A-5FB2-127D-31AFF15B400E}"/>
            </a:ext>
          </a:extLst>
        </xdr:cNvPr>
        <xdr:cNvGrpSpPr/>
      </xdr:nvGrpSpPr>
      <xdr:grpSpPr>
        <a:xfrm>
          <a:off x="5908132" y="240779"/>
          <a:ext cx="7157991" cy="9345726"/>
          <a:chOff x="5917203" y="240779"/>
          <a:chExt cx="7157991" cy="9697697"/>
        </a:xfrm>
      </xdr:grpSpPr>
      <xdr:graphicFrame macro="">
        <xdr:nvGraphicFramePr>
          <xdr:cNvPr id="680" name="Chart 18">
            <a:extLst>
              <a:ext uri="{FF2B5EF4-FFF2-40B4-BE49-F238E27FC236}">
                <a16:creationId xmlns:a16="http://schemas.microsoft.com/office/drawing/2014/main" id="{24220C57-D40A-4551-9D7A-366237CF2A4C}"/>
              </a:ext>
              <a:ext uri="{147F2762-F138-4A5C-976F-8EAC2B608ADB}">
                <a16:predDERef xmlns:a16="http://schemas.microsoft.com/office/drawing/2014/main" pred="{5381F319-082C-684A-3D85-E03349355C3C}"/>
              </a:ext>
            </a:extLst>
          </xdr:cNvPr>
          <xdr:cNvGraphicFramePr>
            <a:graphicFrameLocks/>
          </xdr:cNvGraphicFramePr>
        </xdr:nvGraphicFramePr>
        <xdr:xfrm>
          <a:off x="6314588" y="240779"/>
          <a:ext cx="5945447" cy="449700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82" name="Chart 18">
            <a:extLst>
              <a:ext uri="{FF2B5EF4-FFF2-40B4-BE49-F238E27FC236}">
                <a16:creationId xmlns:a16="http://schemas.microsoft.com/office/drawing/2014/main" id="{857332AF-DCBA-4CDE-94F3-2596F1E584CF}"/>
              </a:ext>
              <a:ext uri="{147F2762-F138-4A5C-976F-8EAC2B608ADB}">
                <a16:predDERef xmlns:a16="http://schemas.microsoft.com/office/drawing/2014/main" pred="{D453C50E-47CD-4B35-9AA4-0E52857A4520}"/>
              </a:ext>
            </a:extLst>
          </xdr:cNvPr>
          <xdr:cNvGraphicFramePr>
            <a:graphicFrameLocks/>
          </xdr:cNvGraphicFramePr>
        </xdr:nvGraphicFramePr>
        <xdr:xfrm>
          <a:off x="5917203" y="5003165"/>
          <a:ext cx="7157991" cy="4935311"/>
        </xdr:xfrm>
        <a:graphic>
          <a:graphicData uri="http://schemas.openxmlformats.org/drawingml/2006/chart">
            <c:chart xmlns:c="http://schemas.openxmlformats.org/drawingml/2006/chart" xmlns:r="http://schemas.openxmlformats.org/officeDocument/2006/relationships" r:id="rId4"/>
          </a:graphicData>
        </a:graphic>
      </xdr:graphicFrame>
      <xdr:cxnSp macro="">
        <xdr:nvCxnSpPr>
          <xdr:cNvPr id="4" name="Straight Connector 3">
            <a:extLst>
              <a:ext uri="{FF2B5EF4-FFF2-40B4-BE49-F238E27FC236}">
                <a16:creationId xmlns:a16="http://schemas.microsoft.com/office/drawing/2014/main" id="{0858233F-341C-1C4E-2A3E-132229CE1887}"/>
              </a:ext>
            </a:extLst>
          </xdr:cNvPr>
          <xdr:cNvCxnSpPr/>
        </xdr:nvCxnSpPr>
        <xdr:spPr>
          <a:xfrm flipH="1">
            <a:off x="9334500" y="3033541"/>
            <a:ext cx="598714" cy="4776960"/>
          </a:xfrm>
          <a:prstGeom prst="line">
            <a:avLst/>
          </a:prstGeom>
          <a:ln>
            <a:prstDash val="dash"/>
          </a:ln>
        </xdr:spPr>
        <xdr:style>
          <a:lnRef idx="1">
            <a:schemeClr val="dk1"/>
          </a:lnRef>
          <a:fillRef idx="0">
            <a:schemeClr val="dk1"/>
          </a:fillRef>
          <a:effectRef idx="0">
            <a:schemeClr val="dk1"/>
          </a:effectRef>
          <a:fontRef idx="minor">
            <a:schemeClr val="tx1"/>
          </a:fontRef>
        </xdr:style>
      </xdr:cxnSp>
      <xdr:cxnSp macro="">
        <xdr:nvCxnSpPr>
          <xdr:cNvPr id="6" name="Straight Connector 5">
            <a:extLst>
              <a:ext uri="{FF2B5EF4-FFF2-40B4-BE49-F238E27FC236}">
                <a16:creationId xmlns:a16="http://schemas.microsoft.com/office/drawing/2014/main" id="{DBF3DCEE-8433-4101-BCD5-A26F0DD361CA}"/>
              </a:ext>
            </a:extLst>
          </xdr:cNvPr>
          <xdr:cNvCxnSpPr/>
        </xdr:nvCxnSpPr>
        <xdr:spPr>
          <a:xfrm>
            <a:off x="6762750" y="3033541"/>
            <a:ext cx="764722" cy="4779681"/>
          </a:xfrm>
          <a:prstGeom prst="line">
            <a:avLst/>
          </a:prstGeom>
          <a:ln>
            <a:prstDash val="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14</xdr:col>
      <xdr:colOff>659673</xdr:colOff>
      <xdr:row>16</xdr:row>
      <xdr:rowOff>165826</xdr:rowOff>
    </xdr:from>
    <xdr:to>
      <xdr:col>23</xdr:col>
      <xdr:colOff>41958</xdr:colOff>
      <xdr:row>36</xdr:row>
      <xdr:rowOff>129540</xdr:rowOff>
    </xdr:to>
    <xdr:graphicFrame macro="">
      <xdr:nvGraphicFramePr>
        <xdr:cNvPr id="5" name="Chart 18">
          <a:extLst>
            <a:ext uri="{FF2B5EF4-FFF2-40B4-BE49-F238E27FC236}">
              <a16:creationId xmlns:a16="http://schemas.microsoft.com/office/drawing/2014/main" id="{D5489A07-D9A3-4DD7-AFF9-98C1DFFE480A}"/>
            </a:ext>
            <a:ext uri="{147F2762-F138-4A5C-976F-8EAC2B608ADB}">
              <a16:predDERef xmlns:a16="http://schemas.microsoft.com/office/drawing/2014/main" pred="{5381F319-082C-684A-3D85-E03349355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0.0118</cdr:x>
      <cdr:y>0.85149</cdr:y>
    </cdr:from>
    <cdr:to>
      <cdr:x>0.15441</cdr:x>
      <cdr:y>0.98367</cdr:y>
    </cdr:to>
    <cdr:sp macro="" textlink="">
      <cdr:nvSpPr>
        <cdr:cNvPr id="3" name="TextBox 2">
          <a:extLst xmlns:a="http://schemas.openxmlformats.org/drawingml/2006/main">
            <a:ext uri="{FF2B5EF4-FFF2-40B4-BE49-F238E27FC236}">
              <a16:creationId xmlns:a16="http://schemas.microsoft.com/office/drawing/2014/main" id="{C7C5DC73-237C-E653-B213-1EECD866F93E}"/>
            </a:ext>
          </a:extLst>
        </cdr:cNvPr>
        <cdr:cNvSpPr txBox="1"/>
      </cdr:nvSpPr>
      <cdr:spPr>
        <a:xfrm xmlns:a="http://schemas.openxmlformats.org/drawingml/2006/main">
          <a:off x="65013" y="2850521"/>
          <a:ext cx="785887" cy="442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Times New Roman" panose="02020603050405020304" pitchFamily="18" charset="0"/>
              <a:cs typeface="Times New Roman" panose="02020603050405020304" pitchFamily="18" charset="0"/>
            </a:rPr>
            <a:t>No.</a:t>
          </a:r>
          <a:r>
            <a:rPr lang="en-US" sz="1100" baseline="0">
              <a:latin typeface="Times New Roman" panose="02020603050405020304" pitchFamily="18" charset="0"/>
              <a:cs typeface="Times New Roman" panose="02020603050405020304" pitchFamily="18" charset="0"/>
            </a:rPr>
            <a:t> of Buildings:</a:t>
          </a:r>
          <a:endParaRPr lang="en-US" sz="1100">
            <a:latin typeface="Times New Roman" panose="02020603050405020304" pitchFamily="18" charset="0"/>
            <a:cs typeface="Times New Roman" panose="02020603050405020304" pitchFamily="18"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0.66844</cdr:x>
      <cdr:y>0.39398</cdr:y>
    </cdr:from>
    <cdr:to>
      <cdr:x>1</cdr:x>
      <cdr:y>0.61712</cdr:y>
    </cdr:to>
    <cdr:pic>
      <cdr:nvPicPr>
        <cdr:cNvPr id="2" name="chart">
          <a:extLst xmlns:a="http://schemas.openxmlformats.org/drawingml/2006/main">
            <a:ext uri="{FF2B5EF4-FFF2-40B4-BE49-F238E27FC236}">
              <a16:creationId xmlns:a16="http://schemas.microsoft.com/office/drawing/2014/main" id="{EDC648FF-C0BC-1729-840B-1CE29B38009A}"/>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srcRect xmlns:a="http://schemas.openxmlformats.org/drawingml/2006/main" b="63206"/>
        <a:stretch xmlns:a="http://schemas.openxmlformats.org/drawingml/2006/main"/>
      </cdr:blipFill>
      <cdr:spPr>
        <a:xfrm xmlns:a="http://schemas.openxmlformats.org/drawingml/2006/main">
          <a:off x="3778438" y="1737420"/>
          <a:ext cx="1874182" cy="984008"/>
        </a:xfrm>
        <a:prstGeom xmlns:a="http://schemas.openxmlformats.org/drawingml/2006/main" prst="rect">
          <a:avLst/>
        </a:prstGeom>
      </cdr:spPr>
    </cdr:pic>
  </cdr:relSizeAnchor>
</c:userShapes>
</file>

<file path=xl/persons/person.xml><?xml version="1.0" encoding="utf-8"?>
<personList xmlns="http://schemas.microsoft.com/office/spreadsheetml/2018/threadedcomments" xmlns:x="http://schemas.openxmlformats.org/spreadsheetml/2006/main">
  <person displayName="Shikha Srinivas" id="{4CBE6658-F0DE-4080-8E8C-92AA9E95C023}" userId="Shikha.Srinivas@arup.com" providerId="PeoplePicker"/>
  <person displayName="Anuradha Kadam" id="{310CAFD7-C9CD-47B3-BA93-BA84AD2BEED3}" userId="S::Anuradha.Kadam@arup.com::22e6a352-39ba-4667-a9a0-e443780afead" providerId="AD"/>
  <person displayName="Shikha Srinivas" id="{228CE643-CF9D-4D8D-B8B3-D101FBAB584B}" userId="S::Shikha.Srinivas@arup.com::6b0e0030-3b03-4f04-a4c3-0c58337a5955" providerId="AD"/>
  <person displayName="Dominic Molinari" id="{179DA54C-DA9E-46AC-AC2D-E6CE30A2281C}" userId="S::Dominic.Molinari@arup.com::385d7f80-160b-4701-9c43-770c05a2ba18" providerId="AD"/>
  <person displayName="Katherine Schwartz" id="{12AF074E-ECC0-4C55-BD5E-702C7ECB2ED2}" userId="S::Katherine.Schwartz@arup.com::f7779c93-2cd6-4490-8ba1-fcae1010bd56" providerId="AD"/>
</personList>
</file>

<file path=xl/theme/theme1.xml><?xml version="1.0" encoding="utf-8"?>
<a:theme xmlns:a="http://schemas.openxmlformats.org/drawingml/2006/main" name="Office Theme">
  <a:themeElements>
    <a:clrScheme name="Arup">
      <a:dk1>
        <a:srgbClr val="000000"/>
      </a:dk1>
      <a:lt1>
        <a:srgbClr val="FFFFFF"/>
      </a:lt1>
      <a:dk2>
        <a:srgbClr val="E61E28"/>
      </a:dk2>
      <a:lt2>
        <a:srgbClr val="FFFFFF"/>
      </a:lt2>
      <a:accent1>
        <a:srgbClr val="E61E28"/>
      </a:accent1>
      <a:accent2>
        <a:srgbClr val="7D4196"/>
      </a:accent2>
      <a:accent3>
        <a:srgbClr val="005AAA"/>
      </a:accent3>
      <a:accent4>
        <a:srgbClr val="32A4A0"/>
      </a:accent4>
      <a:accent5>
        <a:srgbClr val="C83C96"/>
      </a:accent5>
      <a:accent6>
        <a:srgbClr val="4BA046"/>
      </a:accent6>
      <a:hlink>
        <a:srgbClr val="606062"/>
      </a:hlink>
      <a:folHlink>
        <a:srgbClr val="C9C9CA"/>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9" dT="2024-02-04T21:06:46.98" personId="{179DA54C-DA9E-46AC-AC2D-E6CE30A2281C}" id="{876472A4-5532-497D-AD08-EA52B600685B}">
    <text>No longer used</text>
  </threadedComment>
</ThreadedComments>
</file>

<file path=xl/threadedComments/threadedComment10.xml><?xml version="1.0" encoding="utf-8"?>
<ThreadedComments xmlns="http://schemas.microsoft.com/office/spreadsheetml/2018/threadedcomments" xmlns:x="http://schemas.openxmlformats.org/spreadsheetml/2006/main">
  <threadedComment ref="D2" dT="2024-01-04T23:06:35.12" personId="{228CE643-CF9D-4D8D-B8B3-D101FBAB584B}" id="{99281897-BADF-46F9-87AA-BE981EB69DB8}">
    <text>See source from Dominic here
https://rmi.org/clean-energy-101-geothermal-heat-pumps/#:~:text=Geothermal%20heat%20pumps%20use%20about%2080%20percent%20less%20energy%20annually%20than%20industry%2Dstandard%20fossil%20fuel%20furnaces%20to%20heat%20homes%20in%20the%20Midwest.</text>
    <extLst>
      <x:ext xmlns:xltc2="http://schemas.microsoft.com/office/spreadsheetml/2020/threadedcomments2" uri="{F7C98A9C-CBB3-438F-8F68-D28B6AF4A901}">
        <xltc2:checksum>1614443930</xltc2:checksum>
        <xltc2:hyperlink startIndex="29" length="242" url="https://rmi.org/clean-energy-101-geothermal-heat-pumps/#:~:text=Geothermal%20heat%20pumps%20use%20about%2080%20percent%20less%20energy%20annually%20than%20industry%2Dstandard%20fossil%20fuel%20furnaces%20to%20heat%20homes%20in%20the%20Midwest"/>
      </x:ext>
    </extLst>
  </threadedComment>
  <threadedComment ref="D2" dT="2024-01-05T17:55:46.56" personId="{179DA54C-DA9E-46AC-AC2D-E6CE30A2281C}" id="{F7E7483A-B884-46C2-AF18-825EC28BF307}" parentId="{99281897-BADF-46F9-87AA-BE981EB69DB8}">
    <text>"based on analysis of residential heating technologies across the Midwest developed by 5 Lakes Energy over the course of a full year "</text>
  </threadedComment>
  <threadedComment ref="D3" dT="2024-01-04T23:06:35.12" personId="{228CE643-CF9D-4D8D-B8B3-D101FBAB584B}" id="{B2307BED-4A14-44DB-8104-9EECEEE52009}">
    <text>See source from Dominic here
https://rmi.org/clean-energy-101-geothermal-heat-pumps/#:~:text=Geothermal%20heat%20pumps%20use%20about%2080%20percent%20less%20energy%20annually%20than%20industry%2Dstandard%20fossil%20fuel%20furnaces%20to%20heat%20homes%20in%20the%20Midwest.</text>
    <extLst>
      <x:ext xmlns:xltc2="http://schemas.microsoft.com/office/spreadsheetml/2020/threadedcomments2" uri="{F7C98A9C-CBB3-438F-8F68-D28B6AF4A901}">
        <xltc2:checksum>1614443930</xltc2:checksum>
        <xltc2:hyperlink startIndex="29" length="242" url="https://rmi.org/clean-energy-101-geothermal-heat-pumps/#:~:text=Geothermal%20heat%20pumps%20use%20about%2080%20percent%20less%20energy%20annually%20than%20industry%2Dstandard%20fossil%20fuel%20furnaces%20to%20heat%20homes%20in%20the%20Midwest"/>
      </x:ext>
    </extLst>
  </threadedComment>
  <threadedComment ref="D3" dT="2024-01-05T17:55:46.56" personId="{179DA54C-DA9E-46AC-AC2D-E6CE30A2281C}" id="{5B701AEB-6251-4510-BF71-D8FB02DA249A}" parentId="{B2307BED-4A14-44DB-8104-9EECEEE52009}">
    <text>"based on analysis of residential heating technologies across the Midwest developed by 5 Lakes Energy over the course of a full year "</text>
  </threadedComment>
  <threadedComment ref="D7" dT="2024-01-04T23:06:35.12" personId="{228CE643-CF9D-4D8D-B8B3-D101FBAB584B}" id="{8E544CBC-F8AF-46C7-B454-239330B4B500}">
    <text>See source from Dominic here
https://rmi.org/clean-energy-101-geothermal-heat-pumps/#:~:text=Geothermal%20heat%20pumps%20use%20about%2080%20percent%20less%20energy%20annually%20than%20industry%2Dstandard%20fossil%20fuel%20furnaces%20to%20heat%20homes%20in%20the%20Midwest.</text>
    <extLst>
      <x:ext xmlns:xltc2="http://schemas.microsoft.com/office/spreadsheetml/2020/threadedcomments2" uri="{F7C98A9C-CBB3-438F-8F68-D28B6AF4A901}">
        <xltc2:checksum>1614443930</xltc2:checksum>
        <xltc2:hyperlink startIndex="29" length="242" url="https://rmi.org/clean-energy-101-geothermal-heat-pumps/#:~:text=Geothermal%20heat%20pumps%20use%20about%2080%20percent%20less%20energy%20annually%20than%20industry%2Dstandard%20fossil%20fuel%20furnaces%20to%20heat%20homes%20in%20the%20Midwest"/>
      </x:ext>
    </extLst>
  </threadedComment>
  <threadedComment ref="D7" dT="2024-01-05T17:55:46.56" personId="{179DA54C-DA9E-46AC-AC2D-E6CE30A2281C}" id="{4B1787FC-07EB-4C14-A7FB-65F1AE5770C7}" parentId="{8E544CBC-F8AF-46C7-B454-239330B4B500}">
    <text>"based on analysis of residential heating technologies across the Midwest developed by 5 Lakes Energy over the course of a full year "</text>
  </threadedComment>
  <threadedComment ref="D11" dT="2024-01-04T23:06:35.12" personId="{228CE643-CF9D-4D8D-B8B3-D101FBAB584B}" id="{62793D61-D309-4283-AAC5-30E88854E9FF}">
    <text>See source from Dominic here
https://rmi.org/clean-energy-101-geothermal-heat-pumps/#:~:text=Geothermal%20heat%20pumps%20use%20about%2080%20percent%20less%20energy%20annually%20than%20industry%2Dstandard%20fossil%20fuel%20furnaces%20to%20heat%20homes%20in%20the%20Midwest.</text>
    <extLst>
      <x:ext xmlns:xltc2="http://schemas.microsoft.com/office/spreadsheetml/2020/threadedcomments2" uri="{F7C98A9C-CBB3-438F-8F68-D28B6AF4A901}">
        <xltc2:checksum>1614443930</xltc2:checksum>
        <xltc2:hyperlink startIndex="29" length="242" url="https://rmi.org/clean-energy-101-geothermal-heat-pumps/#:~:text=Geothermal%20heat%20pumps%20use%20about%2080%20percent%20less%20energy%20annually%20than%20industry%2Dstandard%20fossil%20fuel%20furnaces%20to%20heat%20homes%20in%20the%20Midwest"/>
      </x:ext>
    </extLst>
  </threadedComment>
  <threadedComment ref="D11" dT="2024-01-05T17:55:46.56" personId="{179DA54C-DA9E-46AC-AC2D-E6CE30A2281C}" id="{83459962-8934-4955-AF94-D5C8331AE49E}" parentId="{62793D61-D309-4283-AAC5-30E88854E9FF}">
    <text>"based on analysis of residential heating technologies across the Midwest developed by 5 Lakes Energy over the course of a full year "</text>
  </threadedComment>
  <threadedComment ref="D15" dT="2023-12-13T21:18:55.20" personId="{12AF074E-ECC0-4C55-BD5E-702C7ECB2ED2}" id="{F4FC1BB2-51AF-44A5-A5EF-AAEA87746D39}">
    <text>https://www.energy.gov/sites/default/files/2021-08/Land-Based%20Wind%20Market%20Report%202021%20Edition_Full%20Report_FINAL.pdf</text>
    <extLst>
      <x:ext xmlns:xltc2="http://schemas.microsoft.com/office/spreadsheetml/2020/threadedcomments2" uri="{F7C98A9C-CBB3-438F-8F68-D28B6AF4A901}">
        <xltc2:checksum>2093766005</xltc2:checksum>
        <xltc2:hyperlink startIndex="0" length="127" url="https://www.energy.gov/sites/default/files/2021-08/Land-Based%20Wind%20Market%20Report%202021%20Edition_Full%20Report_FINAL.pdf"/>
      </x:ext>
    </extLst>
  </threadedComment>
  <threadedComment ref="D15" dT="2023-12-13T21:19:05.44" personId="{12AF074E-ECC0-4C55-BD5E-702C7ECB2ED2}" id="{F8A481D9-78EE-42DE-A6AF-94EDBFC51C3E}" parentId="{F4FC1BB2-51AF-44A5-A5EF-AAEA87746D39}">
    <text>Average capacity factor 40%</text>
  </threadedComment>
  <threadedComment ref="B33" dT="2023-12-13T21:24:29.06" personId="{12AF074E-ECC0-4C55-BD5E-702C7ECB2ED2}" id="{B7E2B4D5-0722-44CE-826E-369619DFEF18}">
    <text>https://pvwatts.nrel.gov/pvwatts.php</text>
    <extLst>
      <x:ext xmlns:xltc2="http://schemas.microsoft.com/office/spreadsheetml/2020/threadedcomments2" uri="{F7C98A9C-CBB3-438F-8F68-D28B6AF4A901}">
        <xltc2:checksum>951409262</xltc2:checksum>
        <xltc2:hyperlink startIndex="0" length="36" url="https://pvwatts.nrel.gov/pvwatts.php"/>
      </x:ext>
    </extLst>
  </threadedComment>
</ThreadedComments>
</file>

<file path=xl/threadedComments/threadedComment11.xml><?xml version="1.0" encoding="utf-8"?>
<ThreadedComments xmlns="http://schemas.microsoft.com/office/spreadsheetml/2018/threadedcomments" xmlns:x="http://schemas.openxmlformats.org/spreadsheetml/2006/main">
  <threadedComment ref="C13" dT="2023-12-18T23:19:08.28" personId="{310CAFD7-C9CD-47B3-BA93-BA84AD2BEED3}" id="{E248D9FC-3439-40F3-A4DC-87DF62541484}">
    <text>Climate Positive Design Tool</text>
  </threadedComment>
  <threadedComment ref="C14" dT="2023-12-18T23:19:08.28" personId="{310CAFD7-C9CD-47B3-BA93-BA84AD2BEED3}" id="{BF2A4B0D-72AD-40A6-8BF0-BE89906BD6FE}">
    <text>Climate Positive Design Tool</text>
  </threadedComment>
  <threadedComment ref="J23" dT="2023-12-13T22:37:43.80" personId="{310CAFD7-C9CD-47B3-BA93-BA84AD2BEED3}" id="{CA0DF38D-7D47-4A21-84AE-3C1D3AF41A86}">
    <text>https://www.fs.usda.gov/ccrc/tool/cufr-tree-carbon-calculator-ctcc</text>
    <extLst>
      <x:ext xmlns:xltc2="http://schemas.microsoft.com/office/spreadsheetml/2020/threadedcomments2" uri="{F7C98A9C-CBB3-438F-8F68-D28B6AF4A901}">
        <xltc2:checksum>939281242</xltc2:checksum>
        <xltc2:hyperlink startIndex="0" length="66" url="https://www.fs.usda.gov/ccrc/tool/cufr-tree-carbon-calculator-ctcc"/>
      </x:ext>
    </extLst>
  </threadedComment>
  <threadedComment ref="A57" dT="2023-12-13T22:37:43.80" personId="{310CAFD7-C9CD-47B3-BA93-BA84AD2BEED3}" id="{6A8498C2-D4BC-48D3-A514-76A141815D8B}">
    <text>https://www.fs.usda.gov/ccrc/tool/cufr-tree-carbon-calculator-ctcc</text>
    <extLst>
      <x:ext xmlns:xltc2="http://schemas.microsoft.com/office/spreadsheetml/2020/threadedcomments2" uri="{F7C98A9C-CBB3-438F-8F68-D28B6AF4A901}">
        <xltc2:checksum>939281242</xltc2:checksum>
        <xltc2:hyperlink startIndex="0" length="66" url="https://www.fs.usda.gov/ccrc/tool/cufr-tree-carbon-calculator-ctcc"/>
      </x:ext>
    </extLst>
  </threadedComment>
  <threadedComment ref="B58" dT="2023-12-14T00:20:51.42" personId="{179DA54C-DA9E-46AC-AC2D-E6CE30A2281C}" id="{BF9E642D-A37B-45C0-A52E-4C78240D21EB}">
    <text>Photo of 5yr old tree for reference
https://www.google.com/url?sa=i&amp;url=https%3A%2F%2Fruk.ca%2Fcontent%2Fsugar-maple-five-years-old&amp;psig=AOvVaw1SJrVj-tl8N32UoVilwXXf&amp;ust=1702599582325000&amp;source=images&amp;cd=vfe&amp;opi=89978449&amp;ved=0CBQQjhxqFwoTCNDX0uzTjYMDFQAAAAAdAAAAABAE</text>
    <extLst>
      <x:ext xmlns:xltc2="http://schemas.microsoft.com/office/spreadsheetml/2020/threadedcomments2" uri="{F7C98A9C-CBB3-438F-8F68-D28B6AF4A901}">
        <xltc2:checksum>3318622477</xltc2:checksum>
        <xltc2:hyperlink startIndex="36" length="230" url="https://www.google.com/url?sa=i&amp;url=https%3A%2F%2Fruk.ca%2Fcontent%2Fsugar-maple-five-years-old&amp;psig=AOvVaw1SJrVj-tl8N32UoVilwXXf&amp;ust=1702599582325000&amp;source=images&amp;cd=vfe&amp;opi=89978449&amp;ved=0CBQQjhxqFwoTCNDX0uzTjYMDFQAAAAAdAAAAABAE"/>
      </x:ext>
    </extLst>
  </threadedComment>
  <threadedComment ref="B63" dT="2023-12-13T20:15:44.28" personId="{228CE643-CF9D-4D8D-B8B3-D101FBAB584B}" id="{ACD83CDC-3BD3-4024-9915-0CE87E0C75DD}">
    <text>Average of values of IPCC soil values in CARB methodology/report https://ww2.arb.ca.gov/sites/default/files/auction-proceeds/landrestore_QM_18-19_revised_final.pdf</text>
    <extLst>
      <x:ext xmlns:xltc2="http://schemas.microsoft.com/office/spreadsheetml/2020/threadedcomments2" uri="{F7C98A9C-CBB3-438F-8F68-D28B6AF4A901}">
        <xltc2:checksum>2578985378</xltc2:checksum>
        <xltc2:hyperlink startIndex="65" length="98" url="https://ww2.arb.ca.gov/sites/default/files/auction-proceeds/landrestore_QM_18-19_revised_final.pdf"/>
      </x:ext>
    </extLst>
  </threadedComment>
  <threadedComment ref="F63" dT="2023-12-13T21:01:34.46" personId="{228CE643-CF9D-4D8D-B8B3-D101FBAB584B}" id="{FF6A542C-19E5-41BF-8CE4-2B8A9FE18054}">
    <text>Assumed 10% of input land (confirm if this is a portion of input land)</text>
  </threadedComment>
  <threadedComment ref="G63" dT="2023-12-13T21:01:44.30" personId="{228CE643-CF9D-4D8D-B8B3-D101FBAB584B}" id="{BACF08E2-64F2-4237-8DFF-26C3793C4B35}">
    <text>Assumed 10% of input land (confirm if this is a portion of input land)</text>
  </threadedComment>
  <threadedComment ref="J63" dT="2023-12-14T00:42:52.93" personId="{228CE643-CF9D-4D8D-B8B3-D101FBAB584B}" id="{239C2AD1-4C9C-4C64-ABA2-A938BEA2C736}">
    <text>1 represents the crop tilling factor (assumption made by CARB) https://ww2.arb.ca.gov/sites/default/files/auction-proceeds/landrestore_QM_18-19_revised_final.pdf</text>
    <extLst>
      <x:ext xmlns:xltc2="http://schemas.microsoft.com/office/spreadsheetml/2020/threadedcomments2" uri="{F7C98A9C-CBB3-438F-8F68-D28B6AF4A901}">
        <xltc2:checksum>460564293</xltc2:checksum>
        <xltc2:hyperlink startIndex="63" length="98" url="https://ww2.arb.ca.gov/sites/default/files/auction-proceeds/landrestore_QM_18-19_revised_final.pdf"/>
      </x:ext>
    </extLst>
  </threadedComment>
</ThreadedComments>
</file>

<file path=xl/threadedComments/threadedComment12.xml><?xml version="1.0" encoding="utf-8"?>
<ThreadedComments xmlns="http://schemas.microsoft.com/office/spreadsheetml/2018/threadedcomments" xmlns:x="http://schemas.openxmlformats.org/spreadsheetml/2006/main">
  <threadedComment ref="B2" dT="2023-11-20T00:57:25.72" personId="{179DA54C-DA9E-46AC-AC2D-E6CE30A2281C}" id="{A19723B7-2552-45C6-B443-7B2359C4B51B}">
    <text>Preserving Anuradha's comment:
According to a California based paper in 2013, at least 60% of homes need solar to significantly reduce carbon emissions by 2020 (significance measured using ANOVA statistical analysis, approx 10% reduction in emissions). 100% homes would lead to approximately 15% (https://nature.berkeley.edu/classes/es196/projects/2013final/ArifM_2013.pdf)</text>
    <extLst>
      <x:ext xmlns:xltc2="http://schemas.microsoft.com/office/spreadsheetml/2020/threadedcomments2" uri="{F7C98A9C-CBB3-438F-8F68-D28B6AF4A901}">
        <xltc2:checksum>2731750969</xltc2:checksum>
        <xltc2:hyperlink startIndex="297" length="75" url="https://nature.berkeley.edu/classes/es196/projects/2013final/ArifM_2013.pdf"/>
      </x:ext>
    </extLst>
  </threadedComment>
  <threadedComment ref="C11" dT="2023-11-17T22:55:27.34" personId="{179DA54C-DA9E-46AC-AC2D-E6CE30A2281C}" id="{87D0E140-AB7B-4F22-9794-D83E12F4846A}" done="1">
    <text>https://www.c2es.org/document/decarbonizing-u-s-buildings/</text>
    <extLst>
      <x:ext xmlns:xltc2="http://schemas.microsoft.com/office/spreadsheetml/2020/threadedcomments2" uri="{F7C98A9C-CBB3-438F-8F68-D28B6AF4A901}">
        <xltc2:checksum>1977950935</xltc2:checksum>
        <xltc2:hyperlink startIndex="0" length="58" url="https://www.c2es.org/document/decarbonizing-u-s-buildings/"/>
      </x:ext>
    </extLst>
  </threadedComment>
  <threadedComment ref="S13" dT="2023-11-17T22:39:18.21" personId="{310CAFD7-C9CD-47B3-BA93-BA84AD2BEED3}" id="{A3121CAC-A29F-46B4-ACE5-F2A7B350B5D2}">
    <text>https://www.iea.org/reports/achievements-of-energy-efficiency-appliance-and-equipment-standards-and-labelling-programmes/executive-summary</text>
    <extLst>
      <x:ext xmlns:xltc2="http://schemas.microsoft.com/office/spreadsheetml/2020/threadedcomments2" uri="{F7C98A9C-CBB3-438F-8F68-D28B6AF4A901}">
        <xltc2:checksum>1580960969</xltc2:checksum>
        <xltc2:hyperlink startIndex="0" length="138" url="https://www.iea.org/reports/achievements-of-energy-efficiency-appliance-and-equipment-standards-and-labelling-programmes/executive-summary"/>
      </x:ext>
    </extLst>
  </threadedComment>
  <threadedComment ref="S13" dT="2023-11-20T02:18:04.12" personId="{179DA54C-DA9E-46AC-AC2D-E6CE30A2281C}" id="{A1E7A740-C3F5-4B33-A413-2A5E6F99B265}" parentId="{A3121CAC-A29F-46B4-ACE5-F2A7B350B5D2}">
    <text>This is an annual energy improvement rate, not total % of energy savings.  Also appears to be a global average, so will need to find a better data source</text>
  </threadedComment>
  <threadedComment ref="C14" dT="2023-11-15T22:38:14.24" personId="{310CAFD7-C9CD-47B3-BA93-BA84AD2BEED3}" id="{FEAF9926-FC4D-4AD3-87EF-2EFC18E5F6D8}">
    <text>Need water use data, there are calculators online for residential and commercial water use based on occupants and flow of fixtures and stuff! Green globes I think? I can dig into my classwork to find tools!</text>
  </threadedComment>
  <threadedComment ref="C14" dT="2023-11-16T23:09:42.65" personId="{179DA54C-DA9E-46AC-AC2D-E6CE30A2281C}" id="{A9623834-3523-411E-81AD-7C22F2D36BC6}" parentId="{FEAF9926-FC4D-4AD3-87EF-2EFC18E5F6D8}">
    <text>If we do move forward as a less priority option, can use https://www.epa.gov/watersense/watersense-calculator</text>
    <extLst>
      <x:ext xmlns:xltc2="http://schemas.microsoft.com/office/spreadsheetml/2020/threadedcomments2" uri="{F7C98A9C-CBB3-438F-8F68-D28B6AF4A901}">
        <xltc2:checksum>3811190339</xltc2:checksum>
        <xltc2:hyperlink startIndex="57" length="52" url="https://www.epa.gov/watersense/watersense-calculator"/>
      </x:ext>
    </extLst>
  </threadedComment>
  <threadedComment ref="C14" dT="2023-11-17T15:22:02.84" personId="{310CAFD7-C9CD-47B3-BA93-BA84AD2BEED3}" id="{0602D123-EEEB-4A95-9014-1F4D577FA612}" parentId="{FEAF9926-FC4D-4AD3-87EF-2EFC18E5F6D8}">
    <text>Yes I added EPA WaterSense as a tool to the other file with the GHG reduction  measures!</text>
  </threadedComment>
  <threadedComment ref="C20" dT="2023-11-17T19:21:29.02" personId="{179DA54C-DA9E-46AC-AC2D-E6CE30A2281C}" id="{6FB4A31A-91FA-4D51-A166-5A6FDE50B7CD}">
    <text>Anticipating that this may be hard to quantify at this first stage of our analysis</text>
  </threadedComment>
  <threadedComment ref="C21" dT="2023-11-16T23:12:03.45" personId="{179DA54C-DA9E-46AC-AC2D-E6CE30A2281C}" id="{611F9E6E-15A0-49F5-9144-573A3ED7A8A0}">
    <text>Suggest we remove, as this measure in of itself doesn't lead to GHG reduction. However, it is a key first step when prioritizing energy-efficiency measures, so we should include it within our overall report narrative</text>
  </threadedComment>
  <threadedComment ref="A25" dT="2023-11-15T22:20:29.03" personId="{310CAFD7-C9CD-47B3-BA93-BA84AD2BEED3}" id="{FA5D9843-8C0F-4F1B-BC13-53E1A0184B4F}">
    <text>How do we address ATV emissions?</text>
  </threadedComment>
  <threadedComment ref="C26" dT="2023-11-15T22:01:04.92" personId="{310CAFD7-C9CD-47B3-BA93-BA84AD2BEED3}" id="{DC773F47-FDA5-4B95-A5D5-61D03EA83128}">
    <text>Consider breaking out fleet specific transportation data where available?</text>
  </threadedComment>
  <threadedComment ref="H29" dT="2023-11-22T07:25:10.87" personId="{228CE643-CF9D-4D8D-B8B3-D101FBAB584B}" id="{3C8A9981-4BCE-4290-B0C4-4108872B9A29}">
    <text>Full paper: https://www.sciencedirect.com/science/article/abs/pii/S0959378021000030?via%3Dihub</text>
    <extLst>
      <x:ext xmlns:xltc2="http://schemas.microsoft.com/office/spreadsheetml/2020/threadedcomments2" uri="{F7C98A9C-CBB3-438F-8F68-D28B6AF4A901}">
        <xltc2:checksum>413891736</xltc2:checksum>
        <xltc2:hyperlink startIndex="12" length="82" url="https://www.sciencedirect.com/science/article/abs/pii/S0959378021000030?via%3Dihub"/>
      </x:ext>
    </extLst>
  </threadedComment>
  <threadedComment ref="C33" dT="2023-11-15T22:24:19.95" personId="{310CAFD7-C9CD-47B3-BA93-BA84AD2BEED3}" id="{E2CDCF81-CC4A-4623-8E19-E8CD47BBBCB0}">
    <text>does "community" wind or solar imply energy for just residential, just commercial, or both?</text>
  </threadedComment>
  <threadedComment ref="C33" dT="2023-11-20T21:53:40.70" personId="{179DA54C-DA9E-46AC-AC2D-E6CE30A2281C}" id="{C08479FD-0E86-46E2-A936-2842E3AACBB5}" parentId="{E2CDCF81-CC4A-4623-8E19-E8CD47BBBCB0}">
    <text>Both!</text>
  </threadedComment>
  <threadedComment ref="G33" dT="2023-11-21T03:47:45.35" personId="{179DA54C-DA9E-46AC-AC2D-E6CE30A2281C}" id="{9807ABD7-5451-4CC7-9546-4F4A97708A64}">
    <text>% scope 2 reduction per avg commercial turbine</text>
  </threadedComment>
  <threadedComment ref="I33" dT="2023-11-21T03:52:43.55" personId="{179DA54C-DA9E-46AC-AC2D-E6CE30A2281C}" id="{8446285B-8EE9-4EF0-98C2-87056EE434ED}">
    <text># of turbines</text>
  </threadedComment>
  <threadedComment ref="G34" dT="2023-11-21T04:29:11.55" personId="{179DA54C-DA9E-46AC-AC2D-E6CE30A2281C}" id="{CEAD7CB0-7236-4D50-8F26-EFF9D0016741}">
    <text>% scope 2 reduction per 1MW solar system</text>
  </threadedComment>
  <threadedComment ref="I34" dT="2023-11-21T04:30:51.00" personId="{179DA54C-DA9E-46AC-AC2D-E6CE30A2281C}" id="{787CA48E-B6A9-461F-9F32-9E8BB59CC0D1}">
    <text># of 1MW solar systems installed</text>
  </threadedComment>
  <threadedComment ref="C36" dT="2023-11-15T22:23:46.19" personId="{310CAFD7-C9CD-47B3-BA93-BA84AD2BEED3}" id="{1DB582AF-3279-4720-BFE6-E315C32CC7C5}">
    <text xml:space="preserve">Would these emissions be captured under commercial building emissions? Can we get usage data on streetlights from Tribal leaders? Calculating might be easy (no. of streetlights, no-daylight hours in a year) </text>
  </threadedComment>
  <threadedComment ref="C36" dT="2023-11-20T19:02:28.85" personId="{310CAFD7-C9CD-47B3-BA93-BA84AD2BEED3}" id="{9009510F-1BF9-423A-9BC8-730C707E0E61}" parentId="{1DB582AF-3279-4720-BFE6-E315C32CC7C5}">
    <text>According to Linda, we can assume 3% of commercial building Scope 2 emissions is for streeetlighting</text>
  </threadedComment>
  <threadedComment ref="C38" dT="2023-11-15T22:27:22.90" personId="{310CAFD7-C9CD-47B3-BA93-BA84AD2BEED3}" id="{333831DE-CA61-4B00-8FC5-25274B355803}" done="1">
    <text>I've researched carbon sequestration from trees before!! It depends on tree type, so ask me for the tree database and calculations I used when ready ☺️</text>
  </threadedComment>
  <threadedComment ref="C39" dT="2023-11-15T22:28:12.34" personId="{310CAFD7-C9CD-47B3-BA93-BA84AD2BEED3}" id="{C229D90F-5274-4ADB-B4DB-58DF21432149}">
    <text>Harder to measure… I am familiar with UMI which models GHG emissions savings from rooftop / urban farming, but not sure  if that's what this means</text>
  </threadedComment>
</ThreadedComments>
</file>

<file path=xl/threadedComments/threadedComment2.xml><?xml version="1.0" encoding="utf-8"?>
<ThreadedComments xmlns="http://schemas.microsoft.com/office/spreadsheetml/2018/threadedcomments" xmlns:x="http://schemas.openxmlformats.org/spreadsheetml/2006/main">
  <threadedComment ref="T10" dT="2023-12-19T23:08:59.08" personId="{179DA54C-DA9E-46AC-AC2D-E6CE30A2281C}" id="{ED4D7E48-6E02-4F74-8044-6F4F5AAF5C7F}">
    <text>See spreadsheet here: Utility Emissions Rates.xlsx data from 2022 and 2023</text>
    <extLst>
      <x:ext xmlns:xltc2="http://schemas.microsoft.com/office/spreadsheetml/2020/threadedcomments2" uri="{F7C98A9C-CBB3-438F-8F68-D28B6AF4A901}">
        <xltc2:checksum>1961869231</xltc2:checksum>
        <xltc2:hyperlink startIndex="22" length="28" url="https://arup.sharepoint.com/:x:/r/teams/prj-29726200/Data%20and%20Documents%20Library/3.%20Internal%20Project%20Data/1.%20Calculations/Utility%20Emissions%20Rates.xlsx?d=w6223aec1c5f5407c99d4e06455350630&amp;csf=1&amp;web=1&amp;e=zTjuDZ"/>
      </x:ext>
    </extLst>
  </threadedComment>
</ThreadedComments>
</file>

<file path=xl/threadedComments/threadedComment3.xml><?xml version="1.0" encoding="utf-8"?>
<ThreadedComments xmlns="http://schemas.microsoft.com/office/spreadsheetml/2018/threadedcomments" xmlns:x="http://schemas.openxmlformats.org/spreadsheetml/2006/main">
  <threadedComment ref="X31" dT="2024-01-06T02:18:03.70" personId="{228CE643-CF9D-4D8D-B8B3-D101FBAB584B}" id="{6C28E5E2-E685-4426-8817-9426B0FB81FD}">
    <text>489 gallons/year per registered vehicle 
https://www.api.org/news-policy-and-issues/blog/2022/05/26/top-numbers-driving-americas-gasoline-demand#:~:text=489%20gallons%2Fyear%20per%20registered,day%20of%20gasoline%20was%20sold.</text>
    <extLst>
      <x:ext xmlns:xltc2="http://schemas.microsoft.com/office/spreadsheetml/2020/threadedcomments2" uri="{F7C98A9C-CBB3-438F-8F68-D28B6AF4A901}">
        <xltc2:checksum>2309842443</xltc2:checksum>
        <xltc2:hyperlink startIndex="42" length="184" url="https://www.api.org/news-policy-and-issues/blog/2022/05/26/top-numbers-driving-americas-gasoline-demand#:~:text=489%20gallons%2Fyear%20per%20registered,day%20of%20gasoline%20was%20sold"/>
      </x:ext>
    </extLst>
  </threadedComment>
  <threadedComment ref="X32" dT="2024-01-06T02:14:19.85" personId="{228CE643-CF9D-4D8D-B8B3-D101FBAB584B}" id="{441469D1-F1E4-48C6-B52C-F0E4A60A9078}">
    <text>~1993 gallons annually
https://www.atob.com/blog/9-tips-on-how-to-improve-school-bus-mpg#:~:text=According%20to%20the%20U.S.%20Department,1%2C993%20gallons%20of%20fuel%20annually.</text>
    <extLst>
      <x:ext xmlns:xltc2="http://schemas.microsoft.com/office/spreadsheetml/2020/threadedcomments2" uri="{F7C98A9C-CBB3-438F-8F68-D28B6AF4A901}">
        <xltc2:checksum>4030972121</xltc2:checksum>
        <xltc2:hyperlink startIndex="23" length="155" url="https://www.atob.com/blog/9-tips-on-how-to-improve-school-bus-mpg#:~:text=According%20to%20the%20U.S.%20Department,1%2C993%20gallons%20of%20fuel%20annually"/>
      </x:ext>
    </extLst>
  </threadedComment>
</ThreadedComments>
</file>

<file path=xl/threadedComments/threadedComment4.xml><?xml version="1.0" encoding="utf-8"?>
<ThreadedComments xmlns="http://schemas.microsoft.com/office/spreadsheetml/2018/threadedcomments" xmlns:x="http://schemas.openxmlformats.org/spreadsheetml/2006/main">
  <threadedComment ref="N6" dT="2024-01-24T14:14:59.89" personId="{12AF074E-ECC0-4C55-BD5E-702C7ECB2ED2}" id="{FE6A7941-4A2B-4DFB-BCFD-FE0AF62C072A}">
    <text>Arup estimate - Cory A</text>
  </threadedComment>
  <threadedComment ref="H31" dT="2024-01-23T00:35:23.32" personId="{228CE643-CF9D-4D8D-B8B3-D101FBAB584B}" id="{6D1D5BAD-6D12-4445-8225-3A5F7389E904}" done="1">
    <text xml:space="preserve">Can also keep consistent source for this using Building-Electrification-Study-Group14-2020-11.09.pdf (buildingdecarb.org) 
Only represents one </text>
    <extLst>
      <x:ext xmlns:xltc2="http://schemas.microsoft.com/office/spreadsheetml/2020/threadedcomments2" uri="{F7C98A9C-CBB3-438F-8F68-D28B6AF4A901}">
        <xltc2:checksum>475121831</xltc2:checksum>
        <xltc2:hyperlink startIndex="47" length="74" url="https://buildingdecarb.org/wp-content/uploads/Building-Electrification-Study-Group14-2020-11.09.pdf"/>
      </x:ext>
    </extLst>
  </threadedComment>
  <threadedComment ref="H31" dT="2024-01-23T00:37:49.38" personId="{228CE643-CF9D-4D8D-B8B3-D101FBAB584B}" id="{C5333DBB-9CD5-4C79-84EB-5444B5E9E5EF}" parentId="{6D1D5BAD-6D12-4445-8225-3A5F7389E904}">
    <text>~$16,000 / large air source heat pump, all in replacement cost is $20,400</text>
  </threadedComment>
  <threadedComment ref="H31" dT="2024-01-23T16:38:50.36" personId="{228CE643-CF9D-4D8D-B8B3-D101FBAB584B}" id="{9DFF3EB4-8C44-44CE-B041-FF078EB3D7FE}" parentId="{6D1D5BAD-6D12-4445-8225-3A5F7389E904}">
    <text>@Shikha Srinivas  to update with Building Decarb</text>
    <mentions>
      <mention mentionpersonId="{4CBE6658-F0DE-4080-8E8C-92AA9E95C023}" mentionId="{570B7382-3541-4C41-B593-CC041C34F82E}" startIndex="0" length="16"/>
    </mentions>
  </threadedComment>
  <threadedComment ref="H32" dT="2024-01-23T22:53:52.15" personId="{228CE643-CF9D-4D8D-B8B3-D101FBAB584B}" id="{7FFC94BA-B296-4494-AD8E-D5A6046CA965}" done="1">
    <text>Alternate source: can use EPA Rule of Thumb (used for commercial)</text>
  </threadedComment>
  <threadedComment ref="H32" dT="2024-01-23T23:18:07.30" personId="{228CE643-CF9D-4D8D-B8B3-D101FBAB584B}" id="{BF66CDAC-F60E-4D19-957B-F2922B124BBF}" parentId="{7FFC94BA-B296-4494-AD8E-D5A6046CA965}">
    <text xml:space="preserve">Same source, alternate calculation. Can also use the cost per fixture of $6.875/fixture * 17 blubs (average number of bulbs replaced). This cost is installed cost. </text>
  </threadedComment>
  <threadedComment ref="H34" dT="2024-01-23T01:16:24.11" personId="{228CE643-CF9D-4D8D-B8B3-D101FBAB584B}" id="{9B8C7677-6307-426D-AAFD-50017FE1BF69}" done="1">
    <text xml:space="preserve">Stated in assumptions, but this only includes low flow fixtures and not any other water-related retrofits. </text>
  </threadedComment>
  <threadedComment ref="H34" dT="2024-01-23T01:17:56.38" personId="{228CE643-CF9D-4D8D-B8B3-D101FBAB584B}" id="{CB52A282-2B50-4699-8D44-6478470D55C7}" parentId="{9B8C7677-6307-426D-AAFD-50017FE1BF69}">
    <text xml:space="preserve">Should we include more? Ex. Line item for "Install free aerators, showerheads, toilet inserts" </text>
  </threadedComment>
  <threadedComment ref="W34" dT="2024-01-22T19:34:41.24" personId="{310CAFD7-C9CD-47B3-BA93-BA84AD2BEED3}" id="{C0A70571-1B39-4582-A6A9-D04D6F152997}">
    <text>Showerhead: https://www.homedepot.com/b/Bath-Bathroom-Faucets-Shower-Heads/Low-Flow/N-5yc1vZcjocZ1z0qpz0</text>
    <extLst>
      <x:ext xmlns:xltc2="http://schemas.microsoft.com/office/spreadsheetml/2020/threadedcomments2" uri="{F7C98A9C-CBB3-438F-8F68-D28B6AF4A901}">
        <xltc2:checksum>4055250255</xltc2:checksum>
        <xltc2:hyperlink startIndex="12" length="92" url="https://www.homedepot.com/b/Bath-Bathroom-Faucets-Shower-Heads/Low-Flow/N-5yc1vZcjocZ1z0qpz0"/>
      </x:ext>
    </extLst>
  </threadedComment>
  <threadedComment ref="W34" dT="2024-01-22T19:36:58.33" personId="{310CAFD7-C9CD-47B3-BA93-BA84AD2BEED3}" id="{D91036AF-8ECE-4534-9924-B5881D14025D}" parentId="{C0A70571-1B39-4582-A6A9-D04D6F152997}">
    <text>Bath sink: https://www.homedepot.com/b/Bath-Bathroom-Faucets-Bathroom-Sink-Faucets/Low-Flow/N-5yc1vZc8d3Z1z0qpz0</text>
    <extLst>
      <x:ext xmlns:xltc2="http://schemas.microsoft.com/office/spreadsheetml/2020/threadedcomments2" uri="{F7C98A9C-CBB3-438F-8F68-D28B6AF4A901}">
        <xltc2:checksum>1171700184</xltc2:checksum>
        <xltc2:hyperlink startIndex="11" length="101" url="https://www.homedepot.com/b/Bath-Bathroom-Faucets-Bathroom-Sink-Faucets/Low-Flow/N-5yc1vZc8d3Z1z0qpz0"/>
      </x:ext>
    </extLst>
  </threadedComment>
  <threadedComment ref="N35" dT="2024-01-23T19:02:59.20" personId="{228CE643-CF9D-4D8D-B8B3-D101FBAB584B}" id="{EBAD2CAB-A9EB-4C49-A0C3-91BB430683D6}">
    <text>Same for the lighting and weatherization</text>
  </threadedComment>
  <threadedComment ref="N35" dT="2024-01-24T00:57:46.59" personId="{228CE643-CF9D-4D8D-B8B3-D101FBAB584B}" id="{53702E89-467A-4BA1-B6EC-A7EB13DF6FB7}" parentId="{EBAD2CAB-A9EB-4C49-A0C3-91BB430683D6}">
    <text>@Shikha Srinivas compare to Inventory</text>
    <mentions>
      <mention mentionpersonId="{4CBE6658-F0DE-4080-8E8C-92AA9E95C023}" mentionId="{112832CA-6FB0-4464-8232-1111A32796C0}" startIndex="0" length="16"/>
    </mentions>
  </threadedComment>
  <threadedComment ref="H36" dT="2024-01-24T01:15:39.11" personId="{228CE643-CF9D-4D8D-B8B3-D101FBAB584B}" id="{71EDE766-0F70-45D2-B0D1-F350BF3AAD4E}">
    <text>Does not separate interior and exterior</text>
  </threadedComment>
  <threadedComment ref="M40" dT="2024-01-23T22:27:02.69" personId="{12AF074E-ECC0-4C55-BD5E-702C7ECB2ED2}" id="{8098A328-80E8-42B9-B9C3-05509B6920E4}">
    <text>Source used for electric bus charger cost</text>
  </threadedComment>
  <threadedComment ref="P40" dT="2024-01-23T23:27:35.14" personId="{12AF074E-ECC0-4C55-BD5E-702C7ECB2ED2}" id="{938DF882-F075-4018-932E-EED014301CBD}">
    <text>One charger serves 6-8 buses per hour. Assume 1 charger/7 buses</text>
  </threadedComment>
  <threadedComment ref="Q40" dT="2024-01-23T23:28:48.81" personId="{12AF074E-ECC0-4C55-BD5E-702C7ECB2ED2}" id="{AC703241-94E7-4E35-9190-B1C3B9CC2CA0}">
    <text>One charger serves 6-8 buses per hour. Assume 1 charger/7 buses</text>
  </threadedComment>
  <threadedComment ref="G41" dT="2024-01-24T23:22:57.64" personId="{12AF074E-ECC0-4C55-BD5E-702C7ECB2ED2}" id="{E7AAE5F1-3284-4E83-9F43-519984AFEA3E}">
    <text>80% of total population across tribes/10 Evs per charger</text>
  </threadedComment>
  <threadedComment ref="J41" dT="2024-01-23T23:24:46.84" personId="{12AF074E-ECC0-4C55-BD5E-702C7ECB2ED2}" id="{D50A1AE7-2F86-4685-8381-1583CAB14028}">
    <text>This matches percentage of SOVs to replace with Evs with population - may overestimate number of vehicles.</text>
  </threadedComment>
  <threadedComment ref="C42" dT="2024-01-22T21:10:04.06" personId="{12AF074E-ECC0-4C55-BD5E-702C7ECB2ED2}" id="{380F1119-5181-430C-A993-6AF9707B4C92}">
    <text>Wide range for propane/CNG/LNG vs hydrogen</text>
  </threadedComment>
  <threadedComment ref="C43" dT="2024-01-22T21:14:24.24" personId="{12AF074E-ECC0-4C55-BD5E-702C7ECB2ED2}" id="{F26B0A21-D79C-49AC-8B9C-700CA0B6310D}">
    <text>DOT says cost of bike lane is between 5k-50k per mile</text>
  </threadedComment>
  <threadedComment ref="H46" dT="2024-01-22T15:54:47.87" personId="{310CAFD7-C9CD-47B3-BA93-BA84AD2BEED3}" id="{D8C3D9F3-4368-433A-B9A2-E9CC289986C6}">
    <text>Currently for a Medium 5-9 foot tree, should we find cost of seedlings? The GHG reduction measure calc is for a large deciduous/evergreen tree…. (also large trees are ~$2000)</text>
  </threadedComment>
  <threadedComment ref="H49" dT="2024-01-22T15:56:48.61" personId="{310CAFD7-C9CD-47B3-BA93-BA84AD2BEED3}" id="{65ED593D-4A5F-49C3-A7A5-BCB536669E54}">
    <text>May need more info on zoning policy development process for Tribes</text>
  </threadedComment>
  <threadedComment ref="B50" dT="2024-02-04T21:03:48.79" personId="{179DA54C-DA9E-46AC-AC2D-E6CE30A2281C}" id="{94399FAD-BCBD-4446-B058-D8BC4EF1AC5E}">
    <text>Not included in PCAP</text>
  </threadedComment>
</ThreadedComments>
</file>

<file path=xl/threadedComments/threadedComment5.xml><?xml version="1.0" encoding="utf-8"?>
<ThreadedComments xmlns="http://schemas.microsoft.com/office/spreadsheetml/2018/threadedcomments" xmlns:x="http://schemas.openxmlformats.org/spreadsheetml/2006/main">
  <threadedComment ref="Q5" dT="2024-01-25T01:06:02.25" personId="{228CE643-CF9D-4D8D-B8B3-D101FBAB584B}" id="{6A57D222-298D-43B9-A59B-2489BC925154}">
    <text xml:space="preserve">Calculated by converting a  $25,000 system with 60 MBH cooling into a cost per ton to scale up for other systems
1 ton = 12 MBH
MBH To Tons Calculator: Convert mBTU To Tons (+ Chart) (learnmetrics.com) </text>
    <extLst>
      <x:ext xmlns:xltc2="http://schemas.microsoft.com/office/spreadsheetml/2020/threadedcomments2" uri="{F7C98A9C-CBB3-438F-8F68-D28B6AF4A901}">
        <xltc2:checksum>3720978341</xltc2:checksum>
        <xltc2:hyperlink startIndex="130" length="73" url="https://learnmetrics.com/mbh-to-tons-mbtu-to-tons/"/>
      </x:ext>
    </extLst>
  </threadedComment>
  <threadedComment ref="Q5" dT="2024-01-25T02:00:23.47" personId="{179DA54C-DA9E-46AC-AC2D-E6CE30A2281C}" id="{13005460-7F78-4F32-A62B-C316E8CC2EBD}" parentId="{6A57D222-298D-43B9-A59B-2489BC925154}">
    <text>Single family home has 60MBH heating, 5 ton unit</text>
  </threadedComment>
  <threadedComment ref="T7" dT="2024-01-24T14:14:59.89" personId="{12AF074E-ECC0-4C55-BD5E-702C7ECB2ED2}" id="{2BD89900-C9A0-4330-AA16-697149C6D70C}">
    <text>Arup estimate - Cory A</text>
  </threadedComment>
  <threadedComment ref="O29" dT="2024-01-23T18:31:32.34" personId="{228CE643-CF9D-4D8D-B8B3-D101FBAB584B}" id="{615358A5-DBB3-44D4-94A1-C9E749D0B1F1}">
    <text>Weatherization Assistance Program: Getting the Facts Straight (nrdc.org) 
This source explains/references the cost found in the DOE document as "cost of weatherization."</text>
    <extLst>
      <x:ext xmlns:xltc2="http://schemas.microsoft.com/office/spreadsheetml/2020/threadedcomments2" uri="{F7C98A9C-CBB3-438F-8F68-D28B6AF4A901}">
        <xltc2:checksum>2506192362</xltc2:checksum>
        <xltc2:hyperlink startIndex="0" length="72" url="https://www.nrdc.org/bio/deron-lovaas/weatherization-assistance-program-getting-facts-straight"/>
      </x:ext>
    </extLst>
  </threadedComment>
  <threadedComment ref="P30" dT="2024-01-25T02:34:20.34" personId="{228CE643-CF9D-4D8D-B8B3-D101FBAB584B}" id="{F8826A48-836F-4CEF-AFC8-EFF29AE0574E}">
    <text>Assumes that 1 multifamily unit = approx 1 single family home for costing out residential retrofit features</text>
  </threadedComment>
  <threadedComment ref="H31" dT="2024-01-23T22:53:52.15" personId="{228CE643-CF9D-4D8D-B8B3-D101FBAB584B}" id="{4DD62A76-CA45-4EFB-A3C3-C07C71200064}" done="1">
    <text>Alternate source: can use EPA Rule of Thumb (used for commercial)</text>
  </threadedComment>
  <threadedComment ref="H31" dT="2024-01-23T23:18:07.30" personId="{228CE643-CF9D-4D8D-B8B3-D101FBAB584B}" id="{B9E91860-F868-4C74-B9C7-9FF8C40A5826}" parentId="{4DD62A76-CA45-4EFB-A3C3-C07C71200064}">
    <text xml:space="preserve">Same source, alternate calculation. Can also use the cost per fixture of $6.875/fixture * 17 blubs (average number of bulbs replaced). This cost is installed cost. </text>
  </threadedComment>
  <threadedComment ref="H33" dT="2024-01-23T01:16:24.11" personId="{228CE643-CF9D-4D8D-B8B3-D101FBAB584B}" id="{58619A18-47B0-43EB-B88E-395E5159D27B}" done="1">
    <text xml:space="preserve">Stated in assumptions, but this only includes low flow fixtures and not any other water-related retrofits. </text>
  </threadedComment>
  <threadedComment ref="H33" dT="2024-01-23T01:17:56.38" personId="{228CE643-CF9D-4D8D-B8B3-D101FBAB584B}" id="{D02470C2-B00C-4D37-8676-1B1A52A655BB}" parentId="{58619A18-47B0-43EB-B88E-395E5159D27B}">
    <text xml:space="preserve">Should we include more? Ex. Line item for "Install free aerators, showerheads, toilet inserts" </text>
  </threadedComment>
  <threadedComment ref="P33" dT="2024-02-01T19:06:43.63" personId="{228CE643-CF9D-4D8D-B8B3-D101FBAB584B}" id="{5BFBE232-60D9-4A37-9291-9C95334616C1}">
    <text>Assuming a single family home 3 bed 2 bath
For faucets and showerheads, assuming 4 faucets (2 bathroom, 2 kitchen/miscellaneous) and 2 showerheads (2 bathrooms)</text>
  </threadedComment>
  <threadedComment ref="R33" dT="2024-02-01T19:06:49.31" personId="{228CE643-CF9D-4D8D-B8B3-D101FBAB584B}" id="{032FD45D-0AA0-4AE5-A9BD-4F2AF8CE2F66}">
    <text xml:space="preserve">Assuming a single family home 3 bed 2 bath
For faucets and showerheads, assuming 4 faucets (2 bathroom, 2 kitchen/miscellaneous) and 2 showerheads (2 bathrooms)
</text>
  </threadedComment>
  <threadedComment ref="Y33" dT="2024-01-22T19:34:41.24" personId="{310CAFD7-C9CD-47B3-BA93-BA84AD2BEED3}" id="{D16F076F-6217-4830-A1EE-D6FECDF5A618}">
    <text>Showerhead: https://www.homedepot.com/b/Bath-Bathroom-Faucets-Shower-Heads/Low-Flow/N-5yc1vZcjocZ1z0qpz0</text>
    <extLst>
      <x:ext xmlns:xltc2="http://schemas.microsoft.com/office/spreadsheetml/2020/threadedcomments2" uri="{F7C98A9C-CBB3-438F-8F68-D28B6AF4A901}">
        <xltc2:checksum>4055250255</xltc2:checksum>
        <xltc2:hyperlink startIndex="12" length="92" url="https://www.homedepot.com/b/Bath-Bathroom-Faucets-Shower-Heads/Low-Flow/N-5yc1vZcjocZ1z0qpz0"/>
      </x:ext>
    </extLst>
  </threadedComment>
  <threadedComment ref="Y33" dT="2024-01-22T19:36:58.33" personId="{310CAFD7-C9CD-47B3-BA93-BA84AD2BEED3}" id="{34F04AA5-0550-4862-BF94-EE3602A40794}" parentId="{D16F076F-6217-4830-A1EE-D6FECDF5A618}">
    <text>Bath sink: https://www.homedepot.com/b/Bath-Bathroom-Faucets-Bathroom-Sink-Faucets/Low-Flow/N-5yc1vZc8d3Z1z0qpz0</text>
    <extLst>
      <x:ext xmlns:xltc2="http://schemas.microsoft.com/office/spreadsheetml/2020/threadedcomments2" uri="{F7C98A9C-CBB3-438F-8F68-D28B6AF4A901}">
        <xltc2:checksum>1171700184</xltc2:checksum>
        <xltc2:hyperlink startIndex="11" length="101" url="https://www.homedepot.com/b/Bath-Bathroom-Faucets-Bathroom-Sink-Faucets/Low-Flow/N-5yc1vZc8d3Z1z0qpz0"/>
      </x:ext>
    </extLst>
  </threadedComment>
  <threadedComment ref="P34" dT="2024-01-23T19:02:59.20" personId="{228CE643-CF9D-4D8D-B8B3-D101FBAB584B}" id="{0224DCDA-B6D9-47AC-89EB-2FCFD04D2A62}">
    <text>Same for the lighting and weatherization</text>
  </threadedComment>
  <threadedComment ref="P34" dT="2024-01-24T00:57:46.59" personId="{228CE643-CF9D-4D8D-B8B3-D101FBAB584B}" id="{269546BE-A47B-49E1-BF1D-B8F46284B6E2}" parentId="{0224DCDA-B6D9-47AC-89EB-2FCFD04D2A62}">
    <text>@Shikha Srinivas compare to Inventory</text>
    <mentions>
      <mention mentionpersonId="{4CBE6658-F0DE-4080-8E8C-92AA9E95C023}" mentionId="{3B3A41B5-7EA4-4305-A805-071C424E2891}" startIndex="0" length="16"/>
    </mentions>
  </threadedComment>
  <threadedComment ref="H35" dT="2024-01-24T01:15:39.11" personId="{228CE643-CF9D-4D8D-B8B3-D101FBAB584B}" id="{44CB2EDE-7B2A-4F06-BC82-58D441427694}">
    <text>Does not separate interior and exterior</text>
  </threadedComment>
  <threadedComment ref="P37" dT="2024-02-02T17:34:20.60" personId="{228CE643-CF9D-4D8D-B8B3-D101FBAB584B}" id="{E2D5343E-7E3F-4CB6-98D6-13C33D22C8E4}">
    <text>Cost per SF for commercial building electrified heating</text>
  </threadedComment>
  <threadedComment ref="H38" dT="2024-01-23T00:35:23.32" personId="{228CE643-CF9D-4D8D-B8B3-D101FBAB584B}" id="{6F5D19F0-D377-4E2A-9D4A-78FEA1560F60}" done="1">
    <text xml:space="preserve">Can also keep consistent source for this using Building-Electrification-Study-Group14-2020-11.09.pdf (buildingdecarb.org) 
Only represents one </text>
    <extLst>
      <x:ext xmlns:xltc2="http://schemas.microsoft.com/office/spreadsheetml/2020/threadedcomments2" uri="{F7C98A9C-CBB3-438F-8F68-D28B6AF4A901}">
        <xltc2:checksum>475121831</xltc2:checksum>
        <xltc2:hyperlink startIndex="47" length="74" url="https://buildingdecarb.org/wp-content/uploads/Building-Electrification-Study-Group14-2020-11.09.pdf"/>
      </x:ext>
    </extLst>
  </threadedComment>
  <threadedComment ref="H38" dT="2024-01-23T00:37:49.38" personId="{228CE643-CF9D-4D8D-B8B3-D101FBAB584B}" id="{C516DBF1-AEFF-4C63-9775-17C2EA82D237}" parentId="{6F5D19F0-D377-4E2A-9D4A-78FEA1560F60}">
    <text>~$16,000 / large air source heat pump, all in replacement cost is $20,400</text>
  </threadedComment>
  <threadedComment ref="H38" dT="2024-01-23T16:38:50.36" personId="{228CE643-CF9D-4D8D-B8B3-D101FBAB584B}" id="{95BAE171-CA34-433E-A9C9-2598C3249200}" parentId="{6F5D19F0-D377-4E2A-9D4A-78FEA1560F60}">
    <text>@Shikha Srinivas  to update with Building Decarb</text>
    <mentions>
      <mention mentionpersonId="{4CBE6658-F0DE-4080-8E8C-92AA9E95C023}" mentionId="{225FF4EF-0922-49E9-9039-BDEF6E6F55BB}" startIndex="0" length="16"/>
    </mentions>
  </threadedComment>
  <threadedComment ref="M40" dT="2024-01-23T22:27:02.69" personId="{12AF074E-ECC0-4C55-BD5E-702C7ECB2ED2}" id="{47EB827A-8017-48BB-B2AD-DC066D8B762B}">
    <text>Source used for electric bus charger cost</text>
  </threadedComment>
  <threadedComment ref="O40" dT="2024-01-23T22:24:15.66" personId="{12AF074E-ECC0-4C55-BD5E-702C7ECB2ED2}" id="{51EC2AE8-F7A6-4A87-980F-FA28965BE80E}">
    <text>Source used for hydrogen fuel cell &amp; electric bus cost</text>
  </threadedComment>
  <threadedComment ref="R40" dT="2024-01-23T23:27:35.14" personId="{12AF074E-ECC0-4C55-BD5E-702C7ECB2ED2}" id="{F4E7A5A5-77C3-4511-A6BB-620F4B80AC1E}">
    <text>One charger serves 6-8 buses per hour. Assume 1 charger/7 buses</text>
  </threadedComment>
  <threadedComment ref="S40" dT="2024-01-23T23:28:48.81" personId="{12AF074E-ECC0-4C55-BD5E-702C7ECB2ED2}" id="{487A3234-17A6-41E6-B5AD-5CCD6D58A8A6}">
    <text>One charger serves 6-8 buses per hour. Assume 1 charger/7 buses</text>
  </threadedComment>
  <threadedComment ref="J41" dT="2024-01-23T23:24:46.84" personId="{12AF074E-ECC0-4C55-BD5E-702C7ECB2ED2}" id="{0A1E473B-E660-48EF-B3E6-E71E28BD3B72}">
    <text>This matches percentage of SOVs to replace with Evs with population - may overestimate number of vehicles.</text>
  </threadedComment>
  <threadedComment ref="C42" dT="2024-01-22T21:10:04.06" personId="{12AF074E-ECC0-4C55-BD5E-702C7ECB2ED2}" id="{7D8C6FFB-3FB7-4114-A9C7-380C7093C173}">
    <text>Wide range for propane/CNG/LNG vs hydrogen</text>
  </threadedComment>
  <threadedComment ref="O42" dT="2024-01-23T22:23:40.28" personId="{12AF074E-ECC0-4C55-BD5E-702C7ECB2ED2}" id="{88944697-453C-4031-A0F7-54EE7D36FAA3}">
    <text>This source referenced for cost of biodiesel bus, endorsed by oregon.gov 2022</text>
  </threadedComment>
  <threadedComment ref="C43" dT="2024-01-22T21:14:24.24" personId="{12AF074E-ECC0-4C55-BD5E-702C7ECB2ED2}" id="{C630825F-348F-4087-A597-5ADB612AD6D9}">
    <text>DOT says cost of bike lane is between 5k-50k per mile</text>
  </threadedComment>
  <threadedComment ref="H46" dT="2024-01-22T15:54:47.87" personId="{310CAFD7-C9CD-47B3-BA93-BA84AD2BEED3}" id="{8954BB4D-410F-4185-89E8-BE57A88677D3}">
    <text>Currently for a Medium 5-9 foot tree, should we find cost of seedlings? The GHG reduction measure calc is for a large deciduous/evergreen tree…. (also large trees are ~$2000)</text>
  </threadedComment>
  <threadedComment ref="H49" dT="2024-01-22T15:56:48.61" personId="{310CAFD7-C9CD-47B3-BA93-BA84AD2BEED3}" id="{0CD198AF-BFB8-4DB4-A33F-437F56D2F096}">
    <text>May need more info on zoning policy development process for Tribes</text>
  </threadedComment>
</ThreadedComments>
</file>

<file path=xl/threadedComments/threadedComment6.xml><?xml version="1.0" encoding="utf-8"?>
<ThreadedComments xmlns="http://schemas.microsoft.com/office/spreadsheetml/2018/threadedcomments" xmlns:x="http://schemas.openxmlformats.org/spreadsheetml/2006/main">
  <threadedComment ref="A4" dT="2023-12-12T21:56:28.74" personId="{310CAFD7-C9CD-47B3-BA93-BA84AD2BEED3}" id="{86FD55DE-EEA6-4D7C-A122-24CAA3725DC9}">
    <text>https://maps.nrel.gov/slope/data-viewer?filters=%5B%5D&amp;layer=comstock.electricity-savings-potential&amp;geoId=G27&amp;year=2012&amp;res=state</text>
    <extLst>
      <x:ext xmlns:xltc2="http://schemas.microsoft.com/office/spreadsheetml/2020/threadedcomments2" uri="{F7C98A9C-CBB3-438F-8F68-D28B6AF4A901}">
        <xltc2:checksum>3603724012</xltc2:checksum>
        <xltc2:hyperlink startIndex="0" length="129" url="https://maps.nrel.gov/slope/data-viewer?filters=%5B%5D&amp;layer=comstock.electricity-savings-potential&amp;geoId=G27&amp;year=2012&amp;res=state"/>
      </x:ext>
    </extLst>
  </threadedComment>
  <threadedComment ref="A4" dT="2023-12-12T22:26:00.05" personId="{310CAFD7-C9CD-47B3-BA93-BA84AD2BEED3}" id="{2DD026DB-377C-4CE8-9707-E08632228A32}" parentId="{86FD55DE-EEA6-4D7C-A122-24CAA3725DC9}">
    <text>Used US Census data to get number of housing units and divide potential savings by house</text>
  </threadedComment>
  <threadedComment ref="E8" dT="2024-01-05T19:44:55.57" personId="{228CE643-CF9D-4D8D-B8B3-D101FBAB584B}" id="{7D141C83-7656-4061-A0F6-DBDA67DD6835}">
    <text>Methodology combines DOE / Energy Star estimates for energy savings of high-energy efficiency appliances with RECs end use electricity breakdowns for how much appliance contributes to electricity use. 
See Columns A-D below strategy calculations)</text>
  </threadedComment>
  <threadedComment ref="A12" dT="2023-12-12T21:56:28.74" personId="{310CAFD7-C9CD-47B3-BA93-BA84AD2BEED3}" id="{3623C7C1-E5E0-422B-9C0D-B874F2EC5362}">
    <text>https://maps.nrel.gov/slope/data-viewer?filters=%5B%5D&amp;layer=comstock.electricity-savings-potential&amp;geoId=G27&amp;year=2012&amp;res=state</text>
    <extLst>
      <x:ext xmlns:xltc2="http://schemas.microsoft.com/office/spreadsheetml/2020/threadedcomments2" uri="{F7C98A9C-CBB3-438F-8F68-D28B6AF4A901}">
        <xltc2:checksum>3603724012</xltc2:checksum>
        <xltc2:hyperlink startIndex="0" length="129" url="https://maps.nrel.gov/slope/data-viewer?filters=%5B%5D&amp;layer=comstock.electricity-savings-potential&amp;geoId=G27&amp;year=2012&amp;res=state"/>
      </x:ext>
    </extLst>
  </threadedComment>
  <threadedComment ref="A12" dT="2023-12-12T22:26:00.05" personId="{310CAFD7-C9CD-47B3-BA93-BA84AD2BEED3}" id="{A6809581-8A11-407C-94E7-D1DCF2103384}" parentId="{3623C7C1-E5E0-422B-9C0D-B874F2EC5362}">
    <text>Used US Census data to get number of housing units and divide potential savings by house</text>
  </threadedComment>
  <threadedComment ref="C12" dT="2024-01-05T17:59:34.25" personId="{228CE643-CF9D-4D8D-B8B3-D101FBAB584B}" id="{A7D2C984-A3C0-4C45-8DBD-18E76E0F4224}">
    <text>Negative to represent an increase in energy (negative energy savings)</text>
  </threadedComment>
  <threadedComment ref="F16" dT="2024-01-05T22:43:58.11" personId="{228CE643-CF9D-4D8D-B8B3-D101FBAB584B}" id="{EED72967-A52B-430D-B1F0-C52A529DAF1F}">
    <text xml:space="preserve">Average of EED_1365_BROCH_StateEnergyCodes_states_MINNESOTA.pdf  &amp; EED_1365_BROCH_StateEnergyCodes_states_WISCONSIN.pdf </text>
    <extLst>
      <x:ext xmlns:xltc2="http://schemas.microsoft.com/office/spreadsheetml/2020/threadedcomments2" uri="{F7C98A9C-CBB3-438F-8F68-D28B6AF4A901}">
        <xltc2:checksum>3021675483</xltc2:checksum>
        <xltc2:hyperlink startIndex="11" length="52" url="https://www.energycodes.gov/sites/default/files/2021-07/EED_1365_BROCH_StateEnergyCodes_states_MINNESOTA.pdf"/>
        <xltc2:hyperlink startIndex="67" length="52" url="https://www.energycodes.gov/sites/default/files/2021-07/EED_1365_BROCH_StateEnergyCodes_states_WISCONSIN.pdf"/>
      </x:ext>
    </extLst>
  </threadedComment>
  <threadedComment ref="E19" dT="2024-01-05T22:40:36.48" personId="{228CE643-CF9D-4D8D-B8B3-D101FBAB584B}" id="{4A773E69-CFCA-4FC3-8E54-31AD7CF4127C}">
    <text xml:space="preserve">EED_1365_BROCH_StateEnergyCodes_states_MINNESOTA.pdf  &amp; EED_1365_BROCH_StateEnergyCodes_states_WISCONSIN.pdf </text>
    <extLst>
      <x:ext xmlns:xltc2="http://schemas.microsoft.com/office/spreadsheetml/2020/threadedcomments2" uri="{F7C98A9C-CBB3-438F-8F68-D28B6AF4A901}">
        <xltc2:checksum>2819488380</xltc2:checksum>
        <xltc2:hyperlink startIndex="0" length="52" url="https://www.energycodes.gov/sites/default/files/2021-07/EED_1365_BROCH_StateEnergyCodes_states_MINNESOTA.pdf"/>
        <xltc2:hyperlink startIndex="56" length="52" url="https://www.energycodes.gov/sites/default/files/2021-07/EED_1365_BROCH_StateEnergyCodes_states_WISCONSIN.pdf"/>
      </x:ext>
    </extLst>
  </threadedComment>
  <threadedComment ref="A23" dT="2023-12-12T21:56:28.74" personId="{310CAFD7-C9CD-47B3-BA93-BA84AD2BEED3}" id="{C77354D6-E56D-4BC7-B667-40D8BDDB823F}">
    <text>https://maps.nrel.gov/slope/data-viewer?filters=%5B%5D&amp;layer=comstock.electricity-savings-potential&amp;geoId=G27&amp;year=2012&amp;res=state</text>
    <extLst>
      <x:ext xmlns:xltc2="http://schemas.microsoft.com/office/spreadsheetml/2020/threadedcomments2" uri="{F7C98A9C-CBB3-438F-8F68-D28B6AF4A901}">
        <xltc2:checksum>3603724012</xltc2:checksum>
        <xltc2:hyperlink startIndex="0" length="129" url="https://maps.nrel.gov/slope/data-viewer?filters=%5B%5D&amp;layer=comstock.electricity-savings-potential&amp;geoId=G27&amp;year=2012&amp;res=state"/>
      </x:ext>
    </extLst>
  </threadedComment>
  <threadedComment ref="A23" dT="2023-12-12T22:26:00.05" personId="{310CAFD7-C9CD-47B3-BA93-BA84AD2BEED3}" id="{C6970F23-4B1B-426E-83EF-F207674C9EBB}" parentId="{C77354D6-E56D-4BC7-B667-40D8BDDB823F}">
    <text>Used US Census data to get number of housing units and divide potential savings by house</text>
  </threadedComment>
  <threadedComment ref="P24" dT="2024-01-05T18:56:25.74" personId="{310CAFD7-C9CD-47B3-BA93-BA84AD2BEED3}" id="{2B7EFA73-4290-4E73-9988-143818ABC863}">
    <text>Wisconsin doesn’t have values for attic ins so this is using same as minnesota</text>
  </threadedComment>
  <threadedComment ref="A27" dT="2023-12-12T21:56:28.74" personId="{310CAFD7-C9CD-47B3-BA93-BA84AD2BEED3}" id="{DEE0592B-5B9C-4FFB-8F8F-145BE4B1492F}">
    <text>https://maps.nrel.gov/slope/data-viewer?filters=%5B%5D&amp;layer=comstock.electricity-savings-potential&amp;geoId=G27&amp;year=2012&amp;res=state</text>
    <extLst>
      <x:ext xmlns:xltc2="http://schemas.microsoft.com/office/spreadsheetml/2020/threadedcomments2" uri="{F7C98A9C-CBB3-438F-8F68-D28B6AF4A901}">
        <xltc2:checksum>3603724012</xltc2:checksum>
        <xltc2:hyperlink startIndex="0" length="129" url="https://maps.nrel.gov/slope/data-viewer?filters=%5B%5D&amp;layer=comstock.electricity-savings-potential&amp;geoId=G27&amp;year=2012&amp;res=state"/>
      </x:ext>
    </extLst>
  </threadedComment>
  <threadedComment ref="A27" dT="2023-12-12T22:26:00.05" personId="{310CAFD7-C9CD-47B3-BA93-BA84AD2BEED3}" id="{D29939B7-F360-46D2-BE29-58CE9211C351}" parentId="{DEE0592B-5B9C-4FFB-8F8F-145BE4B1492F}">
    <text>Used US Census data to get number of housing units and divide potential savings by house</text>
  </threadedComment>
  <threadedComment ref="A31" dT="2023-12-12T21:56:28.74" personId="{310CAFD7-C9CD-47B3-BA93-BA84AD2BEED3}" id="{F11BE59A-4ADD-475D-B192-68ED968FC944}">
    <text>https://maps.nrel.gov/slope/data-viewer?filters=%5B%5D&amp;layer=comstock.electricity-savings-potential&amp;geoId=G27&amp;year=2012&amp;res=state</text>
    <extLst>
      <x:ext xmlns:xltc2="http://schemas.microsoft.com/office/spreadsheetml/2020/threadedcomments2" uri="{F7C98A9C-CBB3-438F-8F68-D28B6AF4A901}">
        <xltc2:checksum>3603724012</xltc2:checksum>
        <xltc2:hyperlink startIndex="0" length="129" url="https://maps.nrel.gov/slope/data-viewer?filters=%5B%5D&amp;layer=comstock.electricity-savings-potential&amp;geoId=G27&amp;year=2012&amp;res=state"/>
      </x:ext>
    </extLst>
  </threadedComment>
  <threadedComment ref="A31" dT="2023-12-12T22:26:00.05" personId="{310CAFD7-C9CD-47B3-BA93-BA84AD2BEED3}" id="{1DA551E6-D726-4DCF-AEE1-7C98A5548D19}" parentId="{F11BE59A-4ADD-475D-B192-68ED968FC944}">
    <text>Used US Census data to get number of housing units and divide potential savings by house</text>
  </threadedComment>
  <threadedComment ref="B31" dT="2023-12-12T21:56:28.74" personId="{310CAFD7-C9CD-47B3-BA93-BA84AD2BEED3}" id="{529EB54B-06DD-4AD9-85EE-0FD6EA937D7B}">
    <text>https://maps.nrel.gov/slope/data-viewer?filters=%5B%5D&amp;layer=comstock.electricity-savings-potential&amp;geoId=G27&amp;year=2012&amp;res=state</text>
    <extLst>
      <x:ext xmlns:xltc2="http://schemas.microsoft.com/office/spreadsheetml/2020/threadedcomments2" uri="{F7C98A9C-CBB3-438F-8F68-D28B6AF4A901}">
        <xltc2:checksum>3603724012</xltc2:checksum>
        <xltc2:hyperlink startIndex="0" length="129" url="https://maps.nrel.gov/slope/data-viewer?filters=%5B%5D&amp;layer=comstock.electricity-savings-potential&amp;geoId=G27&amp;year=2012&amp;res=state"/>
      </x:ext>
    </extLst>
  </threadedComment>
  <threadedComment ref="B31" dT="2023-12-12T22:26:00.05" personId="{310CAFD7-C9CD-47B3-BA93-BA84AD2BEED3}" id="{79681602-EB25-476B-8668-330FBB8C6959}" parentId="{529EB54B-06DD-4AD9-85EE-0FD6EA937D7B}">
    <text>Used US Census data to get number of housing units and divide potential savings by house</text>
  </threadedComment>
  <threadedComment ref="E31" dT="2024-02-05T20:27:49.33" personId="{228CE643-CF9D-4D8D-B8B3-D101FBAB584B}" id="{4D2E2D26-160F-46D4-B8E3-0AAD76CEA99E}">
    <text xml:space="preserve">https://www.energystar.gov/products/heating_cooling/smart_thermostats/smart_thermostat_faq
</text>
    <extLst>
      <x:ext xmlns:xltc2="http://schemas.microsoft.com/office/spreadsheetml/2020/threadedcomments2" uri="{F7C98A9C-CBB3-438F-8F68-D28B6AF4A901}">
        <xltc2:checksum>2138421159</xltc2:checksum>
        <xltc2:hyperlink startIndex="0" length="90" url="https://www.energystar.gov/products/heating_cooling/smart_thermostats/smart_thermostat_faq"/>
      </x:ext>
    </extLst>
  </threadedComment>
  <threadedComment ref="B40" dT="2024-01-06T02:12:08.17" personId="{228CE643-CF9D-4D8D-B8B3-D101FBAB584B}" id="{6F744E7B-AD49-4198-BACC-04DE0A1569FA}">
    <text>High performance heat pump (has 3.97 efficiency)</text>
  </threadedComment>
  <threadedComment ref="B40" dT="2024-01-31T19:41:45.66" personId="{228CE643-CF9D-4D8D-B8B3-D101FBAB584B}" id="{ACF443BF-5194-4218-A24E-8B4A216B82A1}" parentId="{6F744E7B-AD49-4198-BACC-04DE0A1569FA}">
    <text>Heat Pumps in Cold Places: Three Questions Wisconsinites Are Asking about Heat Pumps - RMI</text>
    <extLst>
      <x:ext xmlns:xltc2="http://schemas.microsoft.com/office/spreadsheetml/2020/threadedcomments2" uri="{F7C98A9C-CBB3-438F-8F68-D28B6AF4A901}">
        <xltc2:checksum>1245376769</xltc2:checksum>
        <xltc2:hyperlink startIndex="0" length="90" url="https://rmi.org/three-questions-wisconsinites-are-asking-about-heat-pumps/"/>
      </x:ext>
    </extLst>
  </threadedComment>
  <threadedComment ref="G45" dT="2024-01-05T20:03:07.97" personId="{310CAFD7-C9CD-47B3-BA93-BA84AD2BEED3}" id="{FA36B411-128F-4FF1-80B4-9A42288AA786}">
    <text>Found average manually</text>
  </threadedComment>
  <threadedComment ref="I45" dT="2024-01-31T23:18:34.43" personId="{228CE643-CF9D-4D8D-B8B3-D101FBAB584B}" id="{187B8BAF-E537-4E2F-A012-8B18E34B1063}">
    <text>Total Emissions Saved (disregard header text in this cell)</text>
  </threadedComment>
  <threadedComment ref="A50" dT="2024-02-04T21:04:03.02" personId="{179DA54C-DA9E-46AC-AC2D-E6CE30A2281C}" id="{AA1AE033-C9F3-4798-BD88-F24EDAB2A8B3}">
    <text>Not included in PCAP</text>
  </threadedComment>
  <threadedComment ref="B51" dT="2024-02-04T21:04:47.16" personId="{179DA54C-DA9E-46AC-AC2D-E6CE30A2281C}" id="{E2B741BB-46B9-4833-A30C-A931A5633963}">
    <text>Adjust to emissions per residential unit (home + mf unit).  Would exclude commercial - which would be a analysis gap</text>
  </threadedComment>
  <threadedComment ref="C57" dT="2024-01-05T19:37:54.88" personId="{228CE643-CF9D-4D8D-B8B3-D101FBAB584B}" id="{09CDD625-0FB2-4ADB-9D6F-3E721B2E6AF3}">
    <text>Electricity use in homes - U.S. Energy Information Administration (EIA) 
2020 RECs data for relevant appliance</text>
    <extLst>
      <x:ext xmlns:xltc2="http://schemas.microsoft.com/office/spreadsheetml/2020/threadedcomments2" uri="{F7C98A9C-CBB3-438F-8F68-D28B6AF4A901}">
        <xltc2:checksum>3556916630</xltc2:checksum>
        <xltc2:hyperlink startIndex="0" length="71" url="https://www.eia.gov/energyexplained/use-of-energy/electricity-use-in-homes.php"/>
      </x:ext>
    </extLst>
  </threadedComment>
  <threadedComment ref="B58" dT="2024-01-05T19:36:37.08" personId="{228CE643-CF9D-4D8D-B8B3-D101FBAB584B}" id="{576B0DE7-2C94-4954-A5D1-95595843D4ED}">
    <text xml:space="preserve">Consumer Guide to Kitchen Appliances (energy.gov) 
ENERGY STAR-qualified dishwashers use 12% less energy </text>
    <extLst>
      <x:ext xmlns:xltc2="http://schemas.microsoft.com/office/spreadsheetml/2020/threadedcomments2" uri="{F7C98A9C-CBB3-438F-8F68-D28B6AF4A901}">
        <xltc2:checksum>188434992</xltc2:checksum>
        <xltc2:hyperlink startIndex="0" length="49" url="https://www.energy.gov/sites/default/files/2021-08/ES-KitchenAppliances_080221.pdf"/>
      </x:ext>
    </extLst>
  </threadedComment>
  <threadedComment ref="B59" dT="2024-01-05T19:35:57.30" personId="{228CE643-CF9D-4D8D-B8B3-D101FBAB584B}" id="{9D1032C2-7349-4E9C-8521-84DA87342CA1}">
    <text>Consumer Guide to Kitchen Appliances (energy.gov) 
ENERGY STAR-qualified refrigerators use 9% less energy (compared to standard models)</text>
    <extLst>
      <x:ext xmlns:xltc2="http://schemas.microsoft.com/office/spreadsheetml/2020/threadedcomments2" uri="{F7C98A9C-CBB3-438F-8F68-D28B6AF4A901}">
        <xltc2:checksum>966039419</xltc2:checksum>
        <xltc2:hyperlink startIndex="0" length="49" url="https://www.energy.gov/sites/default/files/2021-08/ES-KitchenAppliances_080221.pdf"/>
      </x:ext>
    </extLst>
  </threadedComment>
  <threadedComment ref="F59" dT="2024-01-05T19:48:17.49" personId="{228CE643-CF9D-4D8D-B8B3-D101FBAB584B}" id="{4C978205-ED83-4A3E-9626-768179CD550F}">
    <text xml:space="preserve">Relative to conventional products, ENERGY STAR certified products typically use 10 to 75 percent less energy and can offer consumer energy cost savings of as much as 75 percent (U.S. EPA, 2016h) 
Energy Efficiency in Affordable Housing (epa.gov) 
</text>
    <extLst>
      <x:ext xmlns:xltc2="http://schemas.microsoft.com/office/spreadsheetml/2020/threadedcomments2" uri="{F7C98A9C-CBB3-438F-8F68-D28B6AF4A901}">
        <xltc2:checksum>279037653</xltc2:checksum>
        <xltc2:hyperlink startIndex="197" length="49" url="https://www.epa.gov/sites/default/files/2018-07/documents/final_affordablehousingguide_06262018_508.pdf"/>
      </x:ext>
    </extLst>
  </threadedComment>
  <threadedComment ref="B60" dT="2024-01-05T19:35:06.06" personId="{228CE643-CF9D-4D8D-B8B3-D101FBAB584B}" id="{D666CF02-9A61-43DA-9054-54A6257D12AB}">
    <text xml:space="preserve">https://www.energy.gov/energysaver/laundry#:~:text=ENERGY%20STAR%20clothes%20washers%20clean%20clothes%20use%20nearly%2035%25%20less%20water%20and%2025%25%20less%20energy%20than%20standard%20washers.
Energy Star clothes washers use 25% less energy than standard washers. </text>
    <extLst>
      <x:ext xmlns:xltc2="http://schemas.microsoft.com/office/spreadsheetml/2020/threadedcomments2" uri="{F7C98A9C-CBB3-438F-8F68-D28B6AF4A901}">
        <xltc2:checksum>3206528328</xltc2:checksum>
        <xltc2:hyperlink startIndex="0" length="198" url="https://www.energy.gov/energysaver/laundry#:~:text=ENERGY%20STAR%20clothes%20washers%20clean%20clothes%20use%20nearly%2035%25%20less%20water%20and%2025%25%20less%20energy%20than%20standard%20washers"/>
      </x:ext>
    </extLst>
  </threadedComment>
  <threadedComment ref="C60" dT="2024-01-05T19:39:52.09" personId="{228CE643-CF9D-4D8D-B8B3-D101FBAB584B}" id="{B8D4B32F-05ED-4397-8944-E6EB9879095F}">
    <text>Does not account for water heating (only washer electricity), which could bring the total up</text>
  </threadedComment>
  <threadedComment ref="B61" dT="2024-01-05T19:34:33.90" personId="{228CE643-CF9D-4D8D-B8B3-D101FBAB584B}" id="{66ADCA40-A485-40C9-B35B-04BB1ADF92E3}">
    <text>https://www.energy.gov/energysaver/laundry#:~:text=ENERGY%20STAR%20clothes%20dryers%20use%2020%25%20less%20energy%20than%20conventional%20models. 
Energy Star clothes dryers use 20% less energy than conventional models</text>
    <extLst>
      <x:ext xmlns:xltc2="http://schemas.microsoft.com/office/spreadsheetml/2020/threadedcomments2" uri="{F7C98A9C-CBB3-438F-8F68-D28B6AF4A901}">
        <xltc2:checksum>3748934996</xltc2:checksum>
        <xltc2:hyperlink startIndex="0" length="144" url="https://www.energy.gov/energysaver/laundry#:~:text=ENERGY%20STAR%20clothes%20dryers%20use%2020%25%20less%20energy%20than%20conventional%20models"/>
      </x:ext>
    </extLst>
  </threadedComment>
  <threadedComment ref="B62" dT="2024-01-05T19:42:55.18" personId="{228CE643-CF9D-4D8D-B8B3-D101FBAB584B}" id="{9F817978-EBBA-4BAE-A102-013808EFFD9C}">
    <text>"By switching to high-efficiency air conditioners and taking other actions to keep your home cool, you could reduce your energy use by 20% to 50%."
https://www.energy.gov/energysaver/articles/save-money-and-stay-cool-efficient-well-maintained-air-conditioner#:~:text=By%20switching%20to%20high%2Defficiency%20air%20conditioners%20and%20taking%20other%20actions%20to%20keep%20your%20home%20cool%2C%20you%20could%20reduce%20your%20energy%20use%20by%2020%25%20to%2050%25</text>
    <extLst>
      <x:ext xmlns:xltc2="http://schemas.microsoft.com/office/spreadsheetml/2020/threadedcomments2" uri="{F7C98A9C-CBB3-438F-8F68-D28B6AF4A901}">
        <xltc2:checksum>3108704708</xltc2:checksum>
        <xltc2:hyperlink startIndex="149" length="319" url="https://www.energy.gov/energysaver/articles/save-money-and-stay-cool-efficient-well-maintained-air-conditioner#:~:text=By%20switching%20to%20high%2Defficiency%20air%20conditioners%20and%20taking%20other%20actions%20to%20keep%20your%20home%20cool%2C%20you%20could%20reduce%20your%20energy%20use%20by%2020%25%20to%2050%25"/>
      </x:ext>
    </extLst>
  </threadedComment>
  <threadedComment ref="B62" dT="2024-01-05T19:43:13.96" personId="{228CE643-CF9D-4D8D-B8B3-D101FBAB584B}" id="{94ACE9BA-9778-41D4-92EF-6565C387A822}" parentId="{9F817978-EBBA-4BAE-A102-013808EFFD9C}">
    <text>Conservatively assuming 20% savings given we are not prescribing other home cooling tips</text>
  </threadedComment>
  <threadedComment ref="N79" dT="2023-11-22T05:44:59.93" personId="{228CE643-CF9D-4D8D-B8B3-D101FBAB584B}" id="{0E1BFFD4-9FAE-4C5B-A35C-673F3E71E5F3}">
    <text>26% can be 3.0-7.0 gallons</text>
  </threadedComment>
</ThreadedComments>
</file>

<file path=xl/threadedComments/threadedComment7.xml><?xml version="1.0" encoding="utf-8"?>
<ThreadedComments xmlns="http://schemas.microsoft.com/office/spreadsheetml/2018/threadedcomments" xmlns:x="http://schemas.openxmlformats.org/spreadsheetml/2006/main">
  <threadedComment ref="H4" dT="2023-12-13T00:34:31.92" personId="{228CE643-CF9D-4D8D-B8B3-D101FBAB584B}" id="{1B902D4F-048B-47FA-A45A-76422C11F81A}">
    <text xml:space="preserve">Electricity use of electrified fleet vehicles </text>
  </threadedComment>
  <threadedComment ref="I4" dT="2023-12-13T00:34:35.27" personId="{228CE643-CF9D-4D8D-B8B3-D101FBAB584B}" id="{62331F9D-EEE8-46E4-8C24-6E65E945D042}">
    <text xml:space="preserve">Electricity use of electrified fleet vehicles 
</text>
  </threadedComment>
  <threadedComment ref="D5" dT="2023-12-13T00:25:57.99" personId="{228CE643-CF9D-4D8D-B8B3-D101FBAB584B}" id="{E6E7FC46-08D6-4F89-B6F4-B7CB46B6F0A8}">
    <text>Based on assumption for School Bus in GHG Inventory: https://afdc.energy.gov/data/10310</text>
    <extLst>
      <x:ext xmlns:xltc2="http://schemas.microsoft.com/office/spreadsheetml/2020/threadedcomments2" uri="{F7C98A9C-CBB3-438F-8F68-D28B6AF4A901}">
        <xltc2:checksum>684531967</xltc2:checksum>
        <xltc2:hyperlink startIndex="53" length="34" url="https://afdc.energy.gov/data/10310"/>
      </x:ext>
    </extLst>
  </threadedComment>
  <threadedComment ref="F5" dT="2023-12-12T19:56:45.78" personId="{310CAFD7-C9CD-47B3-BA93-BA84AD2BEED3}" id="{D040E9BA-0F32-442D-90C2-6AEBE0D1DE5F}">
    <text>https://afdc.energy.gov/vehicles/electric_school_buses_p4_m1.html#:~:text=A%20typical%20bus%20can%20travel,energy%20for%20every%20mile%20traveled.</text>
    <extLst>
      <x:ext xmlns:xltc2="http://schemas.microsoft.com/office/spreadsheetml/2020/threadedcomments2" uri="{F7C98A9C-CBB3-438F-8F68-D28B6AF4A901}">
        <xltc2:checksum>568691873</xltc2:checksum>
        <xltc2:hyperlink startIndex="0" length="145" url="https://afdc.energy.gov/vehicles/electric_school_buses_p4_m1.html#:~:text=A%20typical%20bus%20can%20travel,energy%20for%20every%20mile%20traveled"/>
      </x:ext>
    </extLst>
  </threadedComment>
  <threadedComment ref="J5" dT="2023-12-13T00:32:09.03" personId="{228CE643-CF9D-4D8D-B8B3-D101FBAB584B}" id="{2EC96343-C0A8-41F2-A0E7-B6F8FC6A5E8D}">
    <text xml:space="preserve">Methodology: Remaining Diesel Emissions + Added Electricity Emissions-&gt; 
Total emissions * (1- % electric) + added emissions from electricity  </text>
  </threadedComment>
  <threadedComment ref="H9" dT="2023-12-13T00:34:31.92" personId="{228CE643-CF9D-4D8D-B8B3-D101FBAB584B}" id="{0040739E-3A17-47A9-BFD4-35A622ECB104}">
    <text xml:space="preserve">Electricity use of electrified fleet vehicles </text>
  </threadedComment>
  <threadedComment ref="I9" dT="2023-12-13T00:34:35.27" personId="{228CE643-CF9D-4D8D-B8B3-D101FBAB584B}" id="{A6A34402-08FF-4B00-AB04-5159A49225B6}">
    <text xml:space="preserve">Electricity use of electrified fleet vehicles 
</text>
  </threadedComment>
  <threadedComment ref="D10" dT="2023-12-13T00:59:46.11" personId="{228CE643-CF9D-4D8D-B8B3-D101FBAB584B}" id="{769CE654-83D2-47D2-A3D6-6226C6853936}">
    <text>Based on assumption for SOV in GHG Inventory: https://afdc.energy.gov/data/10310</text>
    <extLst>
      <x:ext xmlns:xltc2="http://schemas.microsoft.com/office/spreadsheetml/2020/threadedcomments2" uri="{F7C98A9C-CBB3-438F-8F68-D28B6AF4A901}">
        <xltc2:checksum>2267406845</xltc2:checksum>
        <xltc2:hyperlink startIndex="46" length="34" url="https://afdc.energy.gov/data/10310"/>
      </x:ext>
    </extLst>
  </threadedComment>
  <threadedComment ref="F10" dT="2023-12-13T00:25:57.99" personId="{228CE643-CF9D-4D8D-B8B3-D101FBAB584B}" id="{CE5D22F3-93B1-4B3C-9235-EEB0AD811404}">
    <text>Based on DOE kWh estimate (https://www.energy.gov/sites/prod/files/2013/06/f1/eGallon-methodology-final.pdf)</text>
    <extLst>
      <x:ext xmlns:xltc2="http://schemas.microsoft.com/office/spreadsheetml/2020/threadedcomments2" uri="{F7C98A9C-CBB3-438F-8F68-D28B6AF4A901}">
        <xltc2:checksum>1516910069</xltc2:checksum>
        <xltc2:hyperlink startIndex="27" length="80" url="https://www.energy.gov/sites/prod/files/2013/06/f1/eGallon-methodology-final.pdf"/>
      </x:ext>
    </extLst>
  </threadedComment>
  <threadedComment ref="J10" dT="2023-12-13T00:32:09.03" personId="{228CE643-CF9D-4D8D-B8B3-D101FBAB584B}" id="{B69E5514-4B9E-4551-B53C-A6126439B342}">
    <text xml:space="preserve">Methodology: Remaining Gasoline Emissions + Added Electricity Emissions-&gt; 
Total emissions * (1- % electric) + added emissions from electricity  </text>
  </threadedComment>
  <threadedComment ref="D12" dT="2023-12-13T00:59:46.11" personId="{228CE643-CF9D-4D8D-B8B3-D101FBAB584B}" id="{A23769A8-6F52-459E-B37A-9D17FCA2B4BF}">
    <text>Based on assumption for SOV in GHG Inventory: https://afdc.energy.gov/data/10310</text>
    <extLst>
      <x:ext xmlns:xltc2="http://schemas.microsoft.com/office/spreadsheetml/2020/threadedcomments2" uri="{F7C98A9C-CBB3-438F-8F68-D28B6AF4A901}">
        <xltc2:checksum>2267406845</xltc2:checksum>
        <xltc2:hyperlink startIndex="46" length="34" url="https://afdc.energy.gov/data/10310"/>
      </x:ext>
    </extLst>
  </threadedComment>
  <threadedComment ref="F12" dT="2023-12-13T00:25:57.99" personId="{228CE643-CF9D-4D8D-B8B3-D101FBAB584B}" id="{FEBE41EB-FC89-4198-8CF7-806621641EF0}">
    <text>Based on DOE kWh estimate (https://www.energy.gov/sites/prod/files/2013/06/f1/eGallon-methodology-final.pdf)</text>
    <extLst>
      <x:ext xmlns:xltc2="http://schemas.microsoft.com/office/spreadsheetml/2020/threadedcomments2" uri="{F7C98A9C-CBB3-438F-8F68-D28B6AF4A901}">
        <xltc2:checksum>1516910069</xltc2:checksum>
        <xltc2:hyperlink startIndex="27" length="80" url="https://www.energy.gov/sites/prod/files/2013/06/f1/eGallon-methodology-final.pdf"/>
      </x:ext>
    </extLst>
  </threadedComment>
  <threadedComment ref="I15" dT="2024-01-25T03:17:32.40" personId="{179DA54C-DA9E-46AC-AC2D-E6CE30A2281C}" id="{D99F2BA0-C230-4330-A5AF-2AE8FFE60934}">
    <text>https://www.sciencedirect.com/science/article/pii/S0965856417316117#:~:text=Taking%20into%20account%20individual%20travel,to%20existing%20walking%20and%20cycling.</text>
    <extLst>
      <x:ext xmlns:xltc2="http://schemas.microsoft.com/office/spreadsheetml/2020/threadedcomments2" uri="{F7C98A9C-CBB3-438F-8F68-D28B6AF4A901}">
        <xltc2:checksum>1921298139</xltc2:checksum>
        <xltc2:hyperlink startIndex="0" length="161" url="https://www.sciencedirect.com/science/article/pii/S0965856417316117#:~:text=Taking%20into%20account%20individual%20travel,to%20existing%20walking%20and%20cycling"/>
      </x:ext>
    </extLst>
  </threadedComment>
  <threadedComment ref="C20" dT="2024-01-30T22:41:15.99" personId="{12AF074E-ECC0-4C55-BD5E-702C7ECB2ED2}" id="{B744F274-8A36-4955-8A81-6BEDDA61FD3D}">
    <text>According to DOT stat, bus transit produces 33% less GHG per passenger mile than average SOV</text>
  </threadedComment>
  <threadedComment ref="C20" dT="2024-01-30T22:41:36.65" personId="{12AF074E-ECC0-4C55-BD5E-702C7ECB2ED2}" id="{49F002F6-4F1B-414F-8DEB-829EC486F1CF}" parentId="{B744F274-8A36-4955-8A81-6BEDDA61FD3D}">
    <text>https://www.transit.dot.gov/sites/fta.dot.gov/files/docs/PublicTransportationsRoleInRespondingToClimateChange2010.pdf</text>
    <extLst>
      <x:ext xmlns:xltc2="http://schemas.microsoft.com/office/spreadsheetml/2020/threadedcomments2" uri="{F7C98A9C-CBB3-438F-8F68-D28B6AF4A901}">
        <xltc2:checksum>3955894494</xltc2:checksum>
        <xltc2:hyperlink startIndex="0" length="117" url="https://www.transit.dot.gov/sites/fta.dot.gov/files/docs/PublicTransportationsRoleInRespondingToClimateChange2010.pdf"/>
      </x:ext>
    </extLst>
  </threadedComment>
  <threadedComment ref="G34" dT="2023-12-13T00:25:57.99" personId="{228CE643-CF9D-4D8D-B8B3-D101FBAB584B}" id="{101A802A-3CCD-462D-BAC3-6AA86FFA2A56}">
    <text>Based on assumption for School Bus in GHG Inventory: https://afdc.energy.gov/data/10310</text>
    <extLst>
      <x:ext xmlns:xltc2="http://schemas.microsoft.com/office/spreadsheetml/2020/threadedcomments2" uri="{F7C98A9C-CBB3-438F-8F68-D28B6AF4A901}">
        <xltc2:checksum>684531967</xltc2:checksum>
        <xltc2:hyperlink startIndex="53" length="34" url="https://afdc.energy.gov/data/10310"/>
      </x:ext>
    </extLst>
  </threadedComment>
</ThreadedComments>
</file>

<file path=xl/threadedComments/threadedComment8.xml><?xml version="1.0" encoding="utf-8"?>
<ThreadedComments xmlns="http://schemas.microsoft.com/office/spreadsheetml/2018/threadedcomments" xmlns:x="http://schemas.openxmlformats.org/spreadsheetml/2006/main">
  <threadedComment ref="A5" dT="2023-12-13T18:19:50.35" personId="{12AF074E-ECC0-4C55-BD5E-702C7ECB2ED2}" id="{42FC31A9-D26A-42B8-8C55-520233427E5E}">
    <text>https://www.ourenergyco.com/blog/tribal-microgrids</text>
    <extLst>
      <x:ext xmlns:xltc2="http://schemas.microsoft.com/office/spreadsheetml/2020/threadedcomments2" uri="{F7C98A9C-CBB3-438F-8F68-D28B6AF4A901}">
        <xltc2:checksum>1334801961</xltc2:checksum>
        <xltc2:hyperlink startIndex="0" length="50" url="https://www.ourenergyco.com/blog/tribal-microgrids"/>
      </x:ext>
    </extLst>
  </threadedComment>
  <threadedComment ref="B7" dT="2023-12-13T18:30:15.69" personId="{12AF074E-ECC0-4C55-BD5E-702C7ECB2ED2}" id="{230C40C6-05E6-4D23-AD2F-0257E717113F}">
    <text>https://pvwatts.nrel.gov/pvwatts.php</text>
    <extLst>
      <x:ext xmlns:xltc2="http://schemas.microsoft.com/office/spreadsheetml/2020/threadedcomments2" uri="{F7C98A9C-CBB3-438F-8F68-D28B6AF4A901}">
        <xltc2:checksum>951409262</xltc2:checksum>
        <xltc2:hyperlink startIndex="0" length="36" url="https://pvwatts.nrel.gov/pvwatts.php"/>
      </x:ext>
    </extLst>
  </threadedComment>
</ThreadedComments>
</file>

<file path=xl/threadedComments/threadedComment9.xml><?xml version="1.0" encoding="utf-8"?>
<ThreadedComments xmlns="http://schemas.microsoft.com/office/spreadsheetml/2018/threadedcomments" xmlns:x="http://schemas.openxmlformats.org/spreadsheetml/2006/main">
  <threadedComment ref="B4" dT="2023-12-12T21:56:28.74" personId="{310CAFD7-C9CD-47B3-BA93-BA84AD2BEED3}" id="{C5CA77D8-689C-4628-9BCA-0B8CDBEBDC37}">
    <text>https://pvwatts.nrel.gov/pvwatts.php</text>
    <extLst>
      <x:ext xmlns:xltc2="http://schemas.microsoft.com/office/spreadsheetml/2020/threadedcomments2" uri="{F7C98A9C-CBB3-438F-8F68-D28B6AF4A901}">
        <xltc2:checksum>951409262</xltc2:checksum>
        <xltc2:hyperlink startIndex="0" length="36" url="https://pvwatts.nrel.gov/pvwatts.php"/>
      </x:ext>
    </extLst>
  </threadedComment>
  <threadedComment ref="C10" dT="2024-01-04T20:20:20.05" personId="{310CAFD7-C9CD-47B3-BA93-BA84AD2BEED3}" id="{0A4B7F17-F25F-4CB2-A122-432C9694AC13}">
    <text>80% of homes</text>
  </threadedComment>
  <threadedComment ref="B12" dT="2023-12-12T21:56:28.74" personId="{310CAFD7-C9CD-47B3-BA93-BA84AD2BEED3}" id="{CCF618AD-6F90-479C-8323-5448D249E75B}">
    <text>https://pvwatts.nrel.gov/pvwatts.php</text>
    <extLst>
      <x:ext xmlns:xltc2="http://schemas.microsoft.com/office/spreadsheetml/2020/threadedcomments2" uri="{F7C98A9C-CBB3-438F-8F68-D28B6AF4A901}">
        <xltc2:checksum>951409262</xltc2:checksum>
        <xltc2:hyperlink startIndex="0" length="36" url="https://pvwatts.nrel.gov/pvwatts.php"/>
      </x:ext>
    </extLst>
  </threadedComment>
  <threadedComment ref="C12" dT="2023-12-12T21:56:28.74" personId="{310CAFD7-C9CD-47B3-BA93-BA84AD2BEED3}" id="{41C4BA28-10A9-485C-B640-4AF3C2961608}">
    <text>https://pvwatts.nrel.gov/pvwatts.php</text>
    <extLst>
      <x:ext xmlns:xltc2="http://schemas.microsoft.com/office/spreadsheetml/2020/threadedcomments2" uri="{F7C98A9C-CBB3-438F-8F68-D28B6AF4A901}">
        <xltc2:checksum>951409262</xltc2:checksum>
        <xltc2:hyperlink startIndex="0" length="36" url="https://pvwatts.nrel.gov/pvwatts.php"/>
      </x:ext>
    </extLst>
  </threadedComment>
  <threadedComment ref="B23" dT="2023-12-12T21:56:28.74" personId="{310CAFD7-C9CD-47B3-BA93-BA84AD2BEED3}" id="{506F394C-EEAB-4348-A712-D6E33A4E0F5B}">
    <text>https://pvwatts.nrel.gov/pvwatts.php</text>
    <extLst>
      <x:ext xmlns:xltc2="http://schemas.microsoft.com/office/spreadsheetml/2020/threadedcomments2" uri="{F7C98A9C-CBB3-438F-8F68-D28B6AF4A901}">
        <xltc2:checksum>951409262</xltc2:checksum>
        <xltc2:hyperlink startIndex="0" length="36" url="https://pvwatts.nrel.gov/pvwatts.php"/>
      </x:ext>
    </extLst>
  </threadedComment>
  <threadedComment ref="C23" dT="2023-12-12T21:56:28.74" personId="{310CAFD7-C9CD-47B3-BA93-BA84AD2BEED3}" id="{CCDE0AD7-64BA-4F0B-8CCF-5A1B76C2E8B3}">
    <text>https://pvwatts.nrel.gov/pvwatts.php</text>
    <extLst>
      <x:ext xmlns:xltc2="http://schemas.microsoft.com/office/spreadsheetml/2020/threadedcomments2" uri="{F7C98A9C-CBB3-438F-8F68-D28B6AF4A901}">
        <xltc2:checksum>951409262</xltc2:checksum>
        <xltc2:hyperlink startIndex="0" length="36" url="https://pvwatts.nrel.gov/pvwatts.php"/>
      </x:ext>
    </extLst>
  </threadedComment>
  <threadedComment ref="B36" dT="2023-12-12T21:56:28.74" personId="{310CAFD7-C9CD-47B3-BA93-BA84AD2BEED3}" id="{7AD54AE9-42EA-4F9B-986E-92C7BD1CCB71}">
    <text>https://www.energy.gov/energysaver/installing-and-maintaining-small-wind-electric-system#:~:text=Small%20wind%20turbines%20used%20in,kilowatt%2Dhours%20per%20month).</text>
    <extLst>
      <x:ext xmlns:xltc2="http://schemas.microsoft.com/office/spreadsheetml/2020/threadedcomments2" uri="{F7C98A9C-CBB3-438F-8F68-D28B6AF4A901}">
        <xltc2:checksum>3706781193</xltc2:checksum>
        <xltc2:hyperlink startIndex="0" length="163" url="https://www.energy.gov/energysaver/installing-and-maintaining-small-wind-electric-system#:~:text=Small%20wind%20turbines%20used%20in,kilowatt%2Dhours%20per%20month"/>
      </x:ext>
    </extLst>
  </threadedComment>
  <threadedComment ref="B36" dT="2023-12-12T22:26:00.05" personId="{310CAFD7-C9CD-47B3-BA93-BA84AD2BEED3}" id="{A4D0275F-FA8C-4B22-AA77-DA70F386B9E6}" parentId="{7AD54AE9-42EA-4F9B-986E-92C7BD1CCB71}">
    <text>1kW = 200 kWh / month, 12 months in a year, 1000 kWh = 1 MWh</text>
  </threadedComment>
  <threadedComment ref="B36" dT="2024-01-09T19:23:02.71" personId="{179DA54C-DA9E-46AC-AC2D-E6CE30A2281C}" id="{B7FB384E-D613-4BE7-AD98-BCF147E43396}" parentId="{7AD54AE9-42EA-4F9B-986E-92C7BD1CCB71}">
    <text>substituting this methodology with the 40% capacity factor used in the MF and commerical calcs to stay consistent</text>
  </threadedComment>
  <threadedComment ref="B44" dT="2024-01-09T18:05:18.99" personId="{12AF074E-ECC0-4C55-BD5E-702C7ECB2ED2}" id="{112E497D-F003-4B2D-A775-4A089CD57B56}">
    <text>40% capacity factor</text>
  </threadedComment>
  <threadedComment ref="D47" dT="2024-01-04T23:06:35.12" personId="{228CE643-CF9D-4D8D-B8B3-D101FBAB584B}" id="{1157696A-93C4-4A8A-AE4B-58CFA88C3181}">
    <text>See source from Dominic here
https://rmi.org/clean-energy-101-geothermal-heat-pumps/#:~:text=Geothermal%20heat%20pumps%20use%20about%2080%20percent%20less%20energy%20annually%20than%20industry%2Dstandard%20fossil%20fuel%20furnaces%20to%20heat%20homes%20in%20the%20Midwest.</text>
    <extLst>
      <x:ext xmlns:xltc2="http://schemas.microsoft.com/office/spreadsheetml/2020/threadedcomments2" uri="{F7C98A9C-CBB3-438F-8F68-D28B6AF4A901}">
        <xltc2:checksum>1614443930</xltc2:checksum>
        <xltc2:hyperlink startIndex="29" length="242" url="https://rmi.org/clean-energy-101-geothermal-heat-pumps/#:~:text=Geothermal%20heat%20pumps%20use%20about%2080%20percent%20less%20energy%20annually%20than%20industry%2Dstandard%20fossil%20fuel%20furnaces%20to%20heat%20homes%20in%20the%20Midwest"/>
      </x:ext>
    </extLst>
  </threadedComment>
  <threadedComment ref="D47" dT="2024-01-05T17:55:46.56" personId="{179DA54C-DA9E-46AC-AC2D-E6CE30A2281C}" id="{3AC3255C-499D-48FA-A178-19B6E81B6589}" parentId="{1157696A-93C4-4A8A-AE4B-58CFA88C3181}">
    <text>"based on analysis of residential heating technologies across the Midwest developed by 5 Lakes Energy over the course of a full year "</text>
  </threadedComment>
  <threadedComment ref="D60" dT="2023-12-13T21:18:55.20" personId="{12AF074E-ECC0-4C55-BD5E-702C7ECB2ED2}" id="{BD2EDC0A-2C6E-4823-A837-A8B5A45FE951}">
    <text>https://www.energy.gov/sites/default/files/2021-08/Land-Based%20Wind%20Market%20Report%202021%20Edition_Full%20Report_FINAL.pdf</text>
    <extLst>
      <x:ext xmlns:xltc2="http://schemas.microsoft.com/office/spreadsheetml/2020/threadedcomments2" uri="{F7C98A9C-CBB3-438F-8F68-D28B6AF4A901}">
        <xltc2:checksum>2093766005</xltc2:checksum>
        <xltc2:hyperlink startIndex="0" length="127" url="https://www.energy.gov/sites/default/files/2021-08/Land-Based%20Wind%20Market%20Report%202021%20Edition_Full%20Report_FINAL.pdf"/>
      </x:ext>
    </extLst>
  </threadedComment>
  <threadedComment ref="D60" dT="2023-12-13T21:19:05.44" personId="{12AF074E-ECC0-4C55-BD5E-702C7ECB2ED2}" id="{326C89B7-BC78-41E5-AE97-B0F00D20204A}" parentId="{BD2EDC0A-2C6E-4823-A837-A8B5A45FE951}">
    <text>Average capacity factor 40%</text>
  </threadedComment>
  <threadedComment ref="D73" dT="2023-12-13T21:18:55.20" personId="{12AF074E-ECC0-4C55-BD5E-702C7ECB2ED2}" id="{E3EFD2EF-9E30-4C8D-BE80-01650F14BF01}">
    <text>https://www.energy.gov/sites/default/files/2021-08/Land-Based%20Wind%20Market%20Report%202021%20Edition_Full%20Report_FINAL.pdf</text>
    <extLst>
      <x:ext xmlns:xltc2="http://schemas.microsoft.com/office/spreadsheetml/2020/threadedcomments2" uri="{F7C98A9C-CBB3-438F-8F68-D28B6AF4A901}">
        <xltc2:checksum>2093766005</xltc2:checksum>
        <xltc2:hyperlink startIndex="0" length="127" url="https://www.energy.gov/sites/default/files/2021-08/Land-Based%20Wind%20Market%20Report%202021%20Edition_Full%20Report_FINAL.pdf"/>
      </x:ext>
    </extLst>
  </threadedComment>
  <threadedComment ref="D73" dT="2023-12-13T21:19:05.44" personId="{12AF074E-ECC0-4C55-BD5E-702C7ECB2ED2}" id="{959A5E45-EC1E-429E-B252-15B7A8498F28}" parentId="{E3EFD2EF-9E30-4C8D-BE80-01650F14BF01}">
    <text>Average capacity factor 40%</text>
  </threadedComment>
  <threadedComment ref="D73" dT="2024-01-05T18:30:09.08" personId="{179DA54C-DA9E-46AC-AC2D-E6CE30A2281C}" id="{51EF0494-3F39-4280-AF5B-ACA49CCE733B}" parentId="{E3EFD2EF-9E30-4C8D-BE80-01650F14BF01}">
    <text>40% average for MN &amp; WI newer projects 2015-2019 - see screenshot to the right</text>
  </threadedComment>
  <threadedComment ref="B80" dT="2023-12-13T21:24:29.06" personId="{12AF074E-ECC0-4C55-BD5E-702C7ECB2ED2}" id="{2519C157-6C5C-4F30-B253-D148E2A2DF79}">
    <text>https://pvwatts.nrel.gov/pvwatts.php</text>
    <extLst>
      <x:ext xmlns:xltc2="http://schemas.microsoft.com/office/spreadsheetml/2020/threadedcomments2" uri="{F7C98A9C-CBB3-438F-8F68-D28B6AF4A901}">
        <xltc2:checksum>951409262</xltc2:checksum>
        <xltc2:hyperlink startIndex="0" length="36" url="https://pvwatts.nrel.gov/pvwatts.php"/>
      </x:ext>
    </extLst>
  </threadedComment>
  <threadedComment ref="B93" dT="2023-12-13T21:24:29.06" personId="{12AF074E-ECC0-4C55-BD5E-702C7ECB2ED2}" id="{B42CECB0-DE41-4F1D-A083-50A0721E81A4}">
    <text>https://pvwatts.nrel.gov/pvwatts.php</text>
    <extLst>
      <x:ext xmlns:xltc2="http://schemas.microsoft.com/office/spreadsheetml/2020/threadedcomments2" uri="{F7C98A9C-CBB3-438F-8F68-D28B6AF4A901}">
        <xltc2:checksum>951409262</xltc2:checksum>
        <xltc2:hyperlink startIndex="0" length="36" url="https://pvwatts.nrel.gov/pvwatts.php"/>
      </x:ext>
    </extLs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692B0A4-A90A-4BBD-9E56-039AC1307E61}">
  <we:reference id="919dff7a-7253-4f9d-997f-8e0132e05c0f" version="1.1.0.1"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eia.gov/electricity/monthly/epm_table_grapher.php?t=epmt_6_07_b" TargetMode="External"/><Relationship Id="rId7" Type="http://schemas.microsoft.com/office/2017/10/relationships/threadedComment" Target="../threadedComments/threadedComment9.xml"/><Relationship Id="rId2" Type="http://schemas.openxmlformats.org/officeDocument/2006/relationships/hyperlink" Target="https://www.eia.gov/electricity/monthly/epm_table_grapher.php?t=epmt_6_07_b" TargetMode="External"/><Relationship Id="rId1" Type="http://schemas.openxmlformats.org/officeDocument/2006/relationships/hyperlink" Target="https://www.energy.gov/eere/water/types-hydropower-plants"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3" Type="http://schemas.openxmlformats.org/officeDocument/2006/relationships/hyperlink" Target="https://www.eia.gov/electricity/monthly/epm_table_grapher.php?t=epmt_6_07_b" TargetMode="External"/><Relationship Id="rId7" Type="http://schemas.microsoft.com/office/2017/10/relationships/threadedComment" Target="../threadedComments/threadedComment10.xml"/><Relationship Id="rId2" Type="http://schemas.openxmlformats.org/officeDocument/2006/relationships/hyperlink" Target="https://www.eia.gov/electricity/monthly/epm_table_grapher.php?t=epmt_6_07_b" TargetMode="External"/><Relationship Id="rId1" Type="http://schemas.openxmlformats.org/officeDocument/2006/relationships/hyperlink" Target="https://www.energy.gov/eere/water/types-hydropower-plants"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s://climatepositivedesign.com/wp-content/uploads/2020/08/200731_landscape-carbon-calculator-v2-report.pdf" TargetMode="External"/><Relationship Id="rId1" Type="http://schemas.openxmlformats.org/officeDocument/2006/relationships/hyperlink" Target="https://app.climatepositivedesign.com/projects/6580a0384d9e97cda5ece37f/edit?version=6580a0744d9e97cda5ece395" TargetMode="External"/><Relationship Id="rId6" Type="http://schemas.microsoft.com/office/2017/10/relationships/threadedComment" Target="../threadedComments/threadedComment11.xm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2.vml"/><Relationship Id="rId3" Type="http://schemas.openxmlformats.org/officeDocument/2006/relationships/hyperlink" Target="https://www.epa.gov/sites/default/files/2016-04/documents/volume_to_weight_conversion_factors_memorandum_04192016_508fnl.pdf" TargetMode="External"/><Relationship Id="rId7" Type="http://schemas.openxmlformats.org/officeDocument/2006/relationships/hyperlink" Target="https://www.epa.gov/energy/greenhouse-gases-equivalencies-calculator-calculations-and-references" TargetMode="External"/><Relationship Id="rId2" Type="http://schemas.openxmlformats.org/officeDocument/2006/relationships/hyperlink" Target="https://www.wood-heating-solutions.com/wood-species-btu-values/" TargetMode="External"/><Relationship Id="rId1" Type="http://schemas.openxmlformats.org/officeDocument/2006/relationships/hyperlink" Target="https://www.epa.gov/system/files/documents/2023-01/eGRID2021_summary_tables.pdf" TargetMode="External"/><Relationship Id="rId6" Type="http://schemas.openxmlformats.org/officeDocument/2006/relationships/hyperlink" Target="https://www.epa.gov/energy/greenhouse-gases-equivalencies-calculator-calculations-and-references" TargetMode="External"/><Relationship Id="rId5" Type="http://schemas.openxmlformats.org/officeDocument/2006/relationships/hyperlink" Target="https://www.epa.gov/system/files/documents/2023-03/ghg_emission_factors_hub.pdf" TargetMode="External"/><Relationship Id="rId4" Type="http://schemas.openxmlformats.org/officeDocument/2006/relationships/hyperlink" Target="https://www.energy.gov/eere/bioenergy/articles/waste-energy-municipal-solid-wastes-report" TargetMode="External"/><Relationship Id="rId9"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8" Type="http://schemas.openxmlformats.org/officeDocument/2006/relationships/hyperlink" Target="https://www.fs.usda.gov/ccrc/tool/cufr-tree-carbon-calculator-ctcc" TargetMode="External"/><Relationship Id="rId13" Type="http://schemas.openxmlformats.org/officeDocument/2006/relationships/hyperlink" Target="https://rmi.org/clean-energy-101-geothermal-heat-pumps/" TargetMode="External"/><Relationship Id="rId18" Type="http://schemas.openxmlformats.org/officeDocument/2006/relationships/hyperlink" Target="https://www.ryse.energy/5kw-wind-turbines/" TargetMode="External"/><Relationship Id="rId3" Type="http://schemas.openxmlformats.org/officeDocument/2006/relationships/hyperlink" Target="https://www.c2es.org/document/decarbonizing-u-s-buildings/" TargetMode="External"/><Relationship Id="rId21" Type="http://schemas.openxmlformats.org/officeDocument/2006/relationships/hyperlink" Target="https://rmi.org/clean-energy-101-geothermal-heat-pumps/" TargetMode="External"/><Relationship Id="rId7" Type="http://schemas.openxmlformats.org/officeDocument/2006/relationships/hyperlink" Target="https://www.fs.usda.gov/ccrc/tool/cufr-tree-carbon-calculator-ctcc" TargetMode="External"/><Relationship Id="rId12" Type="http://schemas.openxmlformats.org/officeDocument/2006/relationships/hyperlink" Target="https://www.c2es.org/wp-content/uploads/2018/06/innovation-buildings-background-brief-07-18.pdf%20+%20WaterSense" TargetMode="External"/><Relationship Id="rId17" Type="http://schemas.openxmlformats.org/officeDocument/2006/relationships/hyperlink" Target="https://pvwatts.nrel.gov/pvwatts.php" TargetMode="External"/><Relationship Id="rId2" Type="http://schemas.openxmlformats.org/officeDocument/2006/relationships/hyperlink" Target="https://www.energy.gov/energysaver/installing-and-maintaining-small-wind-electric-system" TargetMode="External"/><Relationship Id="rId16" Type="http://schemas.openxmlformats.org/officeDocument/2006/relationships/hyperlink" Target="https://pvwatts.nrel.gov/pvwatts.php" TargetMode="External"/><Relationship Id="rId20" Type="http://schemas.openxmlformats.org/officeDocument/2006/relationships/hyperlink" Target="https://rmi.org/clean-energy-101-geothermal-heat-pumps/" TargetMode="External"/><Relationship Id="rId1" Type="http://schemas.openxmlformats.org/officeDocument/2006/relationships/hyperlink" Target="https://www.energystar.gov/products/heating_cooling/smart_thermostats/smart_thermostat_faq" TargetMode="External"/><Relationship Id="rId6" Type="http://schemas.openxmlformats.org/officeDocument/2006/relationships/hyperlink" Target="https://maps.nrel.gov/slope/data-viewer?filters=%5B%5D&amp;layer=comstock.electricity-savings-potential&amp;geoId=G27&amp;year=2012&amp;res=state" TargetMode="External"/><Relationship Id="rId11" Type="http://schemas.openxmlformats.org/officeDocument/2006/relationships/hyperlink" Target="https://www.aqmd.gov/docs/default-source/ceqa/handbook/capcoa-quantifying-greenhouse-gas-mitigation-measures.pdf" TargetMode="External"/><Relationship Id="rId24" Type="http://schemas.microsoft.com/office/2017/10/relationships/threadedComment" Target="../threadedComments/threadedComment12.xml"/><Relationship Id="rId5" Type="http://schemas.openxmlformats.org/officeDocument/2006/relationships/hyperlink" Target="https://maps.nrel.gov/slope/data-viewer?filters=%5B%5D&amp;layer=comstock.electricity-savings-potential&amp;geoId=G27&amp;year=2012&amp;res=state" TargetMode="External"/><Relationship Id="rId15" Type="http://schemas.openxmlformats.org/officeDocument/2006/relationships/hyperlink" Target="https://www.ox.ac.uk/news/2021-02-02-get-your-bike-active-transport-makes-significant-impact-carbon-emissions" TargetMode="External"/><Relationship Id="rId23" Type="http://schemas.openxmlformats.org/officeDocument/2006/relationships/comments" Target="../comments13.xml"/><Relationship Id="rId10" Type="http://schemas.openxmlformats.org/officeDocument/2006/relationships/hyperlink" Target="https://ruk.ca/content/sugar-maple-five-years-old" TargetMode="External"/><Relationship Id="rId19" Type="http://schemas.openxmlformats.org/officeDocument/2006/relationships/hyperlink" Target="https://www.ryse.energy/5kw-wind-turbines/" TargetMode="External"/><Relationship Id="rId4" Type="http://schemas.openxmlformats.org/officeDocument/2006/relationships/hyperlink" Target="https://maps.nrel.gov/slope/data-viewer?filters=%5B%5D&amp;layer=comstock.electricity-savings-potential&amp;geoId=G27&amp;year=2012&amp;res=state" TargetMode="External"/><Relationship Id="rId9" Type="http://schemas.openxmlformats.org/officeDocument/2006/relationships/hyperlink" Target="https://maps.nrel.gov/slope/data-viewer?filters=%5B%5D&amp;layer=resstock.single-family-home-electricity-savings-potential&amp;geoId=G27&amp;year=2017&amp;res=state&amp;energyBurdenPcnt=0.06&amp;transportationBurdenPcnt=0.04&amp;sviTheme=mn&amp;sviPcntl=0" TargetMode="External"/><Relationship Id="rId14" Type="http://schemas.openxmlformats.org/officeDocument/2006/relationships/hyperlink" Target="https://www.energycodes.gov/status/states/minnesota" TargetMode="External"/><Relationship Id="rId22"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nergy.gov/energysaver/lighting-choices-save-you-money" TargetMode="External"/><Relationship Id="rId1" Type="http://schemas.openxmlformats.org/officeDocument/2006/relationships/hyperlink" Target="https://www.energystar.gov/buildings/save_energy_commercial_buildings/ways_save/upgrade_lighting"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3" Type="http://schemas.openxmlformats.org/officeDocument/2006/relationships/hyperlink" Target="https://www.maine.gov/mdot/climate/docs/Maine%20DOT%20Transit%20Vehicle%20Electrification%20Best%20Practices.pdf" TargetMode="External"/><Relationship Id="rId18" Type="http://schemas.openxmlformats.org/officeDocument/2006/relationships/hyperlink" Target="https://www.nrel.gov/docs/fy23osti/87303.pdf" TargetMode="External"/><Relationship Id="rId26" Type="http://schemas.openxmlformats.org/officeDocument/2006/relationships/hyperlink" Target="https://eta-publications.lbl.gov/sites/default/files/final_walker_-_the_cost_of_decarbonization_and_energy.pdf" TargetMode="External"/><Relationship Id="rId39" Type="http://schemas.openxmlformats.org/officeDocument/2006/relationships/hyperlink" Target="https://www.masstransitmag.com/bus/article/12131451/battery-bus-range-its-all-in-the-math" TargetMode="External"/><Relationship Id="rId21" Type="http://schemas.openxmlformats.org/officeDocument/2006/relationships/hyperlink" Target="https://buildingdecarb.org/wp-content/uploads/Building-Electrification-Study-Group14-2020-11.09.pdf" TargetMode="External"/><Relationship Id="rId34" Type="http://schemas.openxmlformats.org/officeDocument/2006/relationships/hyperlink" Target="https://eta-publications.lbl.gov/sites/default/files/final_walker_-_the_cost_of_decarbonization_and_energy.pdf" TargetMode="External"/><Relationship Id="rId42" Type="http://schemas.openxmlformats.org/officeDocument/2006/relationships/printerSettings" Target="../printerSettings/printerSettings4.bin"/><Relationship Id="rId7" Type="http://schemas.openxmlformats.org/officeDocument/2006/relationships/hyperlink" Target="https://www.nrel.gov/docs/fy23osti/87303.pdf" TargetMode="External"/><Relationship Id="rId2" Type="http://schemas.openxmlformats.org/officeDocument/2006/relationships/hyperlink" Target="https://www.nrel.gov/docs/fy23osti/87303.pdf" TargetMode="External"/><Relationship Id="rId16" Type="http://schemas.openxmlformats.org/officeDocument/2006/relationships/hyperlink" Target="https://atb.nrel.gov/electricity/2022/hydropower" TargetMode="External"/><Relationship Id="rId29" Type="http://schemas.openxmlformats.org/officeDocument/2006/relationships/hyperlink" Target="https://atb.nrel.gov/electricity/2022/geothermal" TargetMode="External"/><Relationship Id="rId1" Type="http://schemas.openxmlformats.org/officeDocument/2006/relationships/hyperlink" Target="https://www.nrel.gov/docs/fy23osti/87303.pdf" TargetMode="External"/><Relationship Id="rId6" Type="http://schemas.openxmlformats.org/officeDocument/2006/relationships/hyperlink" Target="https://www.nrel.gov/docs/fy23osti/87303.pdf" TargetMode="External"/><Relationship Id="rId11" Type="http://schemas.openxmlformats.org/officeDocument/2006/relationships/hyperlink" Target="https://www.nrel.gov/docs/fy24osti/88335.pdf" TargetMode="External"/><Relationship Id="rId24" Type="http://schemas.openxmlformats.org/officeDocument/2006/relationships/hyperlink" Target="https://www.huduser.gov/publications/pdf/Book2.pdf" TargetMode="External"/><Relationship Id="rId32" Type="http://schemas.openxmlformats.org/officeDocument/2006/relationships/hyperlink" Target="https://buildingdecarb.org/wp-content/uploads/Building-Electrification-Study-Group14-2020-11.09.pdf" TargetMode="External"/><Relationship Id="rId37" Type="http://schemas.openxmlformats.org/officeDocument/2006/relationships/hyperlink" Target="https://4starelectric.com/why-you-should-upgrade-to-led-lights/" TargetMode="External"/><Relationship Id="rId40" Type="http://schemas.openxmlformats.org/officeDocument/2006/relationships/hyperlink" Target="https://www.energystar.gov/productfinder/product/certified-connected-thermostats/results" TargetMode="External"/><Relationship Id="rId45" Type="http://schemas.microsoft.com/office/2017/10/relationships/threadedComment" Target="../threadedComments/threadedComment4.xml"/><Relationship Id="rId5" Type="http://schemas.openxmlformats.org/officeDocument/2006/relationships/hyperlink" Target="https://www.nrel.gov/docs/fy23osti/87303.pdf" TargetMode="External"/><Relationship Id="rId15" Type="http://schemas.openxmlformats.org/officeDocument/2006/relationships/hyperlink" Target="https://www.nrel.gov/docs/fy23osti/87303.pdf" TargetMode="External"/><Relationship Id="rId23" Type="http://schemas.openxmlformats.org/officeDocument/2006/relationships/hyperlink" Target="https://cdn.stateofsustainablefleets.com/2022/state-of-sustainable-fleets-2022-report.pdf" TargetMode="External"/><Relationship Id="rId28" Type="http://schemas.openxmlformats.org/officeDocument/2006/relationships/hyperlink" Target="https://www.epa.gov/sites/default/files/2016-03/documents/table_rules_of_thumb.pdf" TargetMode="External"/><Relationship Id="rId36" Type="http://schemas.openxmlformats.org/officeDocument/2006/relationships/hyperlink" Target="https://www.homedepot.com/b/Lighting-Light-Bulbs-LED-Light-Bulbs/60-Watt/N-5yc1vZbm79Z1z1u6nl" TargetMode="External"/><Relationship Id="rId10" Type="http://schemas.openxmlformats.org/officeDocument/2006/relationships/hyperlink" Target="https://www.nrel.gov/docs/fy24osti/88335.pdf" TargetMode="External"/><Relationship Id="rId19" Type="http://schemas.openxmlformats.org/officeDocument/2006/relationships/hyperlink" Target="https://lawnlove.com/blog/sod-cost/" TargetMode="External"/><Relationship Id="rId31" Type="http://schemas.openxmlformats.org/officeDocument/2006/relationships/hyperlink" Target="https://lawnlove.com/blog/cost-to-plant-tree/" TargetMode="External"/><Relationship Id="rId44" Type="http://schemas.openxmlformats.org/officeDocument/2006/relationships/comments" Target="../comments4.xml"/><Relationship Id="rId4" Type="http://schemas.openxmlformats.org/officeDocument/2006/relationships/hyperlink" Target="https://www.nrel.gov/docs/fy23osti/87303.pdf" TargetMode="External"/><Relationship Id="rId9" Type="http://schemas.openxmlformats.org/officeDocument/2006/relationships/hyperlink" Target="https://www.nrel.gov/docs/fy24osti/88335.pdf" TargetMode="External"/><Relationship Id="rId14" Type="http://schemas.openxmlformats.org/officeDocument/2006/relationships/hyperlink" Target="https://www.nrel.gov/docs/fy23osti/87303.pdf" TargetMode="External"/><Relationship Id="rId22" Type="http://schemas.openxmlformats.org/officeDocument/2006/relationships/hyperlink" Target="https://www.huduser.gov/publications/pdf/Book2.pdf" TargetMode="External"/><Relationship Id="rId27" Type="http://schemas.openxmlformats.org/officeDocument/2006/relationships/hyperlink" Target="https://eta-publications.lbl.gov/sites/default/files/final_walker_-_the_cost_of_decarbonization_and_energy.pdf" TargetMode="External"/><Relationship Id="rId30" Type="http://schemas.openxmlformats.org/officeDocument/2006/relationships/hyperlink" Target="https://atb.nrel.gov/electricity/2022/geothermal" TargetMode="External"/><Relationship Id="rId35" Type="http://schemas.openxmlformats.org/officeDocument/2006/relationships/hyperlink" Target="https://afdc.energy.gov/files/u/publication/evse_cost_report_2015.pdf" TargetMode="External"/><Relationship Id="rId43" Type="http://schemas.openxmlformats.org/officeDocument/2006/relationships/vmlDrawing" Target="../drawings/vmlDrawing4.vml"/><Relationship Id="rId8" Type="http://schemas.openxmlformats.org/officeDocument/2006/relationships/hyperlink" Target="https://www.nrel.gov/docs/fy24osti/88335.pdf" TargetMode="External"/><Relationship Id="rId3" Type="http://schemas.openxmlformats.org/officeDocument/2006/relationships/hyperlink" Target="https://www.nrel.gov/docs/fy23osti/87303.pdf" TargetMode="External"/><Relationship Id="rId12" Type="http://schemas.openxmlformats.org/officeDocument/2006/relationships/hyperlink" Target="https://atb.nrel.gov/electricity/2022/hydropower" TargetMode="External"/><Relationship Id="rId17" Type="http://schemas.openxmlformats.org/officeDocument/2006/relationships/hyperlink" Target="https://www.nrel.gov/docs/fy24osti/88335.pdf" TargetMode="External"/><Relationship Id="rId25" Type="http://schemas.openxmlformats.org/officeDocument/2006/relationships/hyperlink" Target="https://www.minnesotageothermalheatpumpassociation.com/geothermal/how-geo-compares/" TargetMode="External"/><Relationship Id="rId33" Type="http://schemas.openxmlformats.org/officeDocument/2006/relationships/hyperlink" Target="https://eta-publications.lbl.gov/sites/default/files/final_walker_-_the_cost_of_decarbonization_and_energy.pdf" TargetMode="External"/><Relationship Id="rId38" Type="http://schemas.openxmlformats.org/officeDocument/2006/relationships/hyperlink" Target="https://www.energy.gov/sites/prod/files/guide_to_geothermal_heat_pumps.pdf" TargetMode="External"/><Relationship Id="rId46" Type="http://schemas.microsoft.com/office/2019/04/relationships/documenttask" Target="../documenttasks/documenttask1.xml"/><Relationship Id="rId20" Type="http://schemas.openxmlformats.org/officeDocument/2006/relationships/hyperlink" Target="https://lawnlove.com/blog/sod-cost/" TargetMode="External"/><Relationship Id="rId41" Type="http://schemas.openxmlformats.org/officeDocument/2006/relationships/hyperlink" Target="https://www.homeadvisor.com/cost/landscape/install-landscaping/"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maine.gov/mdot/climate/docs/Maine%20DOT%20Transit%20Vehicle%20Electrification%20Best%20Practices.pdf" TargetMode="External"/><Relationship Id="rId18" Type="http://schemas.openxmlformats.org/officeDocument/2006/relationships/hyperlink" Target="https://www.nrel.gov/docs/fy23osti/87303.pdf" TargetMode="External"/><Relationship Id="rId26" Type="http://schemas.openxmlformats.org/officeDocument/2006/relationships/hyperlink" Target="https://www.minnesotageothermalheatpumpassociation.com/geothermal/how-geo-compares/" TargetMode="External"/><Relationship Id="rId39" Type="http://schemas.openxmlformats.org/officeDocument/2006/relationships/hyperlink" Target="https://afdc.energy.gov/files/u/publication/evse_cost_report_2015.pdf" TargetMode="External"/><Relationship Id="rId21" Type="http://schemas.openxmlformats.org/officeDocument/2006/relationships/hyperlink" Target="https://lawnlove.com/blog/sod-cost/" TargetMode="External"/><Relationship Id="rId34" Type="http://schemas.openxmlformats.org/officeDocument/2006/relationships/hyperlink" Target="https://buildingdecarb.org/wp-content/uploads/Building-Electrification-Study-Group14-2020-11.09.pdf" TargetMode="External"/><Relationship Id="rId42" Type="http://schemas.openxmlformats.org/officeDocument/2006/relationships/hyperlink" Target="https://atb.nrel.gov/electricity/2022/geothermal" TargetMode="External"/><Relationship Id="rId47" Type="http://schemas.openxmlformats.org/officeDocument/2006/relationships/vmlDrawing" Target="../drawings/vmlDrawing5.vml"/><Relationship Id="rId50" Type="http://schemas.microsoft.com/office/2019/04/relationships/documenttask" Target="../documenttasks/documenttask2.xml"/><Relationship Id="rId7" Type="http://schemas.openxmlformats.org/officeDocument/2006/relationships/hyperlink" Target="https://www.nrel.gov/docs/fy23osti/87303.pdf" TargetMode="External"/><Relationship Id="rId2" Type="http://schemas.openxmlformats.org/officeDocument/2006/relationships/hyperlink" Target="https://www.nrel.gov/docs/fy23osti/87303.pdf" TargetMode="External"/><Relationship Id="rId16" Type="http://schemas.openxmlformats.org/officeDocument/2006/relationships/hyperlink" Target="https://atb.nrel.gov/electricity/2022/hydropower" TargetMode="External"/><Relationship Id="rId29" Type="http://schemas.openxmlformats.org/officeDocument/2006/relationships/hyperlink" Target="https://www.sbdautomotive.com/post/new-index-identifies-ev-leaders-and-laggards-in-the-u-s-and-europe" TargetMode="External"/><Relationship Id="rId11" Type="http://schemas.openxmlformats.org/officeDocument/2006/relationships/hyperlink" Target="https://www.nrel.gov/docs/fy24osti/88335.pdf" TargetMode="External"/><Relationship Id="rId24" Type="http://schemas.openxmlformats.org/officeDocument/2006/relationships/hyperlink" Target="https://cdn.stateofsustainablefleets.com/2022/state-of-sustainable-fleets-2022-report.pdf" TargetMode="External"/><Relationship Id="rId32" Type="http://schemas.openxmlformats.org/officeDocument/2006/relationships/hyperlink" Target="https://www.energy.gov/sites/prod/files/guide_to_geothermal_heat_pumps.pdf" TargetMode="External"/><Relationship Id="rId37" Type="http://schemas.openxmlformats.org/officeDocument/2006/relationships/hyperlink" Target="https://4starelectric.com/why-you-should-upgrade-to-led-lights/" TargetMode="External"/><Relationship Id="rId40" Type="http://schemas.openxmlformats.org/officeDocument/2006/relationships/hyperlink" Target="https://eta-publications.lbl.gov/sites/default/files/final_walker_-_the_cost_of_decarbonization_and_energy.pdf" TargetMode="External"/><Relationship Id="rId45" Type="http://schemas.openxmlformats.org/officeDocument/2006/relationships/hyperlink" Target="https://www.oregon.gov/energy/energy-oregon/Documents/2022-Jan-14-School-Bus-Electrification-Cost-Comparison-Tool.xlsx" TargetMode="External"/><Relationship Id="rId5" Type="http://schemas.openxmlformats.org/officeDocument/2006/relationships/hyperlink" Target="https://www.nrel.gov/docs/fy23osti/87303.pdf" TargetMode="External"/><Relationship Id="rId15" Type="http://schemas.openxmlformats.org/officeDocument/2006/relationships/hyperlink" Target="https://www.nrel.gov/docs/fy23osti/87303.pdf" TargetMode="External"/><Relationship Id="rId23" Type="http://schemas.openxmlformats.org/officeDocument/2006/relationships/hyperlink" Target="https://www.huduser.gov/publications/pdf/Book2.pdf" TargetMode="External"/><Relationship Id="rId28" Type="http://schemas.openxmlformats.org/officeDocument/2006/relationships/hyperlink" Target="https://eta-publications.lbl.gov/sites/default/files/final_walker_-_the_cost_of_decarbonization_and_energy.pdf" TargetMode="External"/><Relationship Id="rId36" Type="http://schemas.openxmlformats.org/officeDocument/2006/relationships/hyperlink" Target="https://eta-publications.lbl.gov/sites/default/files/final_walker_-_the_cost_of_decarbonization_and_energy.pdf" TargetMode="External"/><Relationship Id="rId49" Type="http://schemas.microsoft.com/office/2017/10/relationships/threadedComment" Target="../threadedComments/threadedComment5.xml"/><Relationship Id="rId10" Type="http://schemas.openxmlformats.org/officeDocument/2006/relationships/hyperlink" Target="https://www.nrel.gov/docs/fy24osti/88335.pdf" TargetMode="External"/><Relationship Id="rId19" Type="http://schemas.openxmlformats.org/officeDocument/2006/relationships/hyperlink" Target="https://lawnlove.com/blog/sod-cost/" TargetMode="External"/><Relationship Id="rId31" Type="http://schemas.openxmlformats.org/officeDocument/2006/relationships/hyperlink" Target="https://www.epa.gov/sites/default/files/2016-03/documents/table_rules_of_thumb.pdf" TargetMode="External"/><Relationship Id="rId44" Type="http://schemas.openxmlformats.org/officeDocument/2006/relationships/hyperlink" Target="https://www.minnesotageothermalheatpumpassociation.com/geothermal/how-geo-compares/" TargetMode="External"/><Relationship Id="rId4" Type="http://schemas.openxmlformats.org/officeDocument/2006/relationships/hyperlink" Target="https://www.nrel.gov/docs/fy23osti/87303.pdf" TargetMode="External"/><Relationship Id="rId9" Type="http://schemas.openxmlformats.org/officeDocument/2006/relationships/hyperlink" Target="https://www.nrel.gov/docs/fy24osti/88335.pdf" TargetMode="External"/><Relationship Id="rId14" Type="http://schemas.openxmlformats.org/officeDocument/2006/relationships/hyperlink" Target="https://www.nrel.gov/docs/fy23osti/87303.pdf" TargetMode="External"/><Relationship Id="rId22" Type="http://schemas.openxmlformats.org/officeDocument/2006/relationships/hyperlink" Target="https://buildingdecarb.org/wp-content/uploads/Building-Electrification-Study-Group14-2020-11.09.pdf" TargetMode="External"/><Relationship Id="rId27" Type="http://schemas.openxmlformats.org/officeDocument/2006/relationships/hyperlink" Target="https://eta-publications.lbl.gov/sites/default/files/final_walker_-_the_cost_of_decarbonization_and_energy.pdf" TargetMode="External"/><Relationship Id="rId30" Type="http://schemas.openxmlformats.org/officeDocument/2006/relationships/hyperlink" Target="https://www.masstransitmag.com/bus/article/12131451/battery-bus-range-its-all-in-the-math" TargetMode="External"/><Relationship Id="rId35" Type="http://schemas.openxmlformats.org/officeDocument/2006/relationships/hyperlink" Target="https://eta-publications.lbl.gov/sites/default/files/final_walker_-_the_cost_of_decarbonization_and_energy.pdf" TargetMode="External"/><Relationship Id="rId43" Type="http://schemas.openxmlformats.org/officeDocument/2006/relationships/hyperlink" Target="https://www.minnesotageothermalheatpumpassociation.com/geothermal/how-geo-compares/" TargetMode="External"/><Relationship Id="rId48" Type="http://schemas.openxmlformats.org/officeDocument/2006/relationships/comments" Target="../comments5.xml"/><Relationship Id="rId8" Type="http://schemas.openxmlformats.org/officeDocument/2006/relationships/hyperlink" Target="https://www.nrel.gov/docs/fy24osti/88335.pdf" TargetMode="External"/><Relationship Id="rId3" Type="http://schemas.openxmlformats.org/officeDocument/2006/relationships/hyperlink" Target="https://www.nrel.gov/docs/fy23osti/87303.pdf" TargetMode="External"/><Relationship Id="rId12" Type="http://schemas.openxmlformats.org/officeDocument/2006/relationships/hyperlink" Target="https://atb.nrel.gov/electricity/2022/hydropower" TargetMode="External"/><Relationship Id="rId17" Type="http://schemas.openxmlformats.org/officeDocument/2006/relationships/hyperlink" Target="https://www.nrel.gov/docs/fy24osti/88335.pdf" TargetMode="External"/><Relationship Id="rId25" Type="http://schemas.openxmlformats.org/officeDocument/2006/relationships/hyperlink" Target="https://cdn.stateofsustainablefleets.com/2022/state-of-sustainable-fleets-2022-report.pdf" TargetMode="External"/><Relationship Id="rId33" Type="http://schemas.openxmlformats.org/officeDocument/2006/relationships/hyperlink" Target="https://lawnlove.com/blog/cost-to-plant-tree/" TargetMode="External"/><Relationship Id="rId38" Type="http://schemas.openxmlformats.org/officeDocument/2006/relationships/hyperlink" Target="https://www.homedepot.com/b/Lighting-Light-Bulbs-LED-Light-Bulbs/60-Watt/N-5yc1vZbm79Z1z1u6nl" TargetMode="External"/><Relationship Id="rId46" Type="http://schemas.openxmlformats.org/officeDocument/2006/relationships/printerSettings" Target="../printerSettings/printerSettings5.bin"/><Relationship Id="rId20" Type="http://schemas.openxmlformats.org/officeDocument/2006/relationships/hyperlink" Target="https://www.homeadvisor.com/cost/landscape/install-landscaping/" TargetMode="External"/><Relationship Id="rId41" Type="http://schemas.openxmlformats.org/officeDocument/2006/relationships/hyperlink" Target="https://www.pnnl.gov/main/publications/external/technical_reports/PNNL-15320.pdf" TargetMode="External"/><Relationship Id="rId1" Type="http://schemas.openxmlformats.org/officeDocument/2006/relationships/hyperlink" Target="https://www.nrel.gov/docs/fy23osti/87303.pdf" TargetMode="External"/><Relationship Id="rId6" Type="http://schemas.openxmlformats.org/officeDocument/2006/relationships/hyperlink" Target="https://www.nrel.gov/docs/fy23osti/87303.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energycodes.gov/sites/default/files/2021-07/EED_1365_BROCH_StateEnergyCodes_states_MINNESOTA.pdf" TargetMode="External"/><Relationship Id="rId13" Type="http://schemas.microsoft.com/office/2017/10/relationships/threadedComment" Target="../threadedComments/threadedComment6.xml"/><Relationship Id="rId3" Type="http://schemas.openxmlformats.org/officeDocument/2006/relationships/hyperlink" Target="https://www.epa.gov/watersense/bathroom-faucets" TargetMode="External"/><Relationship Id="rId7" Type="http://schemas.openxmlformats.org/officeDocument/2006/relationships/hyperlink" Target="https://www.epa.gov/green-building-tools-tribes/tribal-green-building-code-guidance" TargetMode="External"/><Relationship Id="rId12" Type="http://schemas.openxmlformats.org/officeDocument/2006/relationships/comments" Target="../comments6.xml"/><Relationship Id="rId2" Type="http://schemas.openxmlformats.org/officeDocument/2006/relationships/hyperlink" Target="https://www.epa.gov/watersense/showerheads" TargetMode="External"/><Relationship Id="rId1" Type="http://schemas.openxmlformats.org/officeDocument/2006/relationships/hyperlink" Target="https://rmi.org/three-questions-wisconsinites-are-asking-about-heat-pumps/" TargetMode="External"/><Relationship Id="rId6" Type="http://schemas.openxmlformats.org/officeDocument/2006/relationships/hyperlink" Target="https://www.epa.gov/watersense/residential-toilets" TargetMode="External"/><Relationship Id="rId11" Type="http://schemas.openxmlformats.org/officeDocument/2006/relationships/vmlDrawing" Target="../drawings/vmlDrawing6.vml"/><Relationship Id="rId5" Type="http://schemas.openxmlformats.org/officeDocument/2006/relationships/hyperlink" Target="https://www.epa.gov/watersense/commercial-toilets" TargetMode="External"/><Relationship Id="rId10" Type="http://schemas.openxmlformats.org/officeDocument/2006/relationships/hyperlink" Target="https://public.tableau.com/app/profile/nrel.buildingstock/viz/StateLevelResidentialBuildingStockandEnergyEfficiencyElectrificationPackagesAnalysis/Introduction" TargetMode="External"/><Relationship Id="rId4" Type="http://schemas.openxmlformats.org/officeDocument/2006/relationships/hyperlink" Target="https://www.c2es.org/wp-content/uploads/2018/06/innovation-buildings-background-brief-07-18.pdf" TargetMode="External"/><Relationship Id="rId9" Type="http://schemas.openxmlformats.org/officeDocument/2006/relationships/hyperlink" Target="https://www.energycodes.gov/sites/default/files/2021-07/EED_1365_BROCH_StateEnergyCodes_states_WISCONSIN.pdf" TargetMode="Externa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107CA-97E8-4F1D-9257-554CED65C052}">
  <sheetPr>
    <tabColor theme="9" tint="0.79998168889431442"/>
  </sheetPr>
  <dimension ref="A1:BO115"/>
  <sheetViews>
    <sheetView tabSelected="1" zoomScale="45" zoomScaleNormal="45" workbookViewId="0">
      <pane xSplit="3" ySplit="9" topLeftCell="D10" activePane="bottomRight" state="frozen"/>
      <selection pane="topRight" activeCell="D1" sqref="D1"/>
      <selection pane="bottomLeft" activeCell="A11" sqref="A11"/>
      <selection pane="bottomRight" activeCell="J11" sqref="J11"/>
    </sheetView>
  </sheetViews>
  <sheetFormatPr defaultColWidth="9" defaultRowHeight="18.5" x14ac:dyDescent="0.9"/>
  <cols>
    <col min="1" max="1" width="32.25" style="280" customWidth="1"/>
    <col min="2" max="2" width="37" style="280" customWidth="1"/>
    <col min="3" max="3" width="71.75" style="280" customWidth="1"/>
    <col min="4" max="4" width="25.875" style="300" customWidth="1"/>
    <col min="5" max="5" width="27.75" style="280" hidden="1" customWidth="1"/>
    <col min="6" max="6" width="26" style="280" customWidth="1"/>
    <col min="7" max="7" width="39.5" style="280" bestFit="1" customWidth="1"/>
    <col min="8" max="8" width="30" style="300" bestFit="1" customWidth="1"/>
    <col min="9" max="9" width="42.125" style="300" bestFit="1" customWidth="1"/>
    <col min="10" max="10" width="19.125" style="300" customWidth="1"/>
    <col min="11" max="11" width="24.625" style="447" customWidth="1"/>
    <col min="12" max="13" width="17.25" style="338" hidden="1" customWidth="1"/>
    <col min="14" max="14" width="23.875" style="337" bestFit="1" customWidth="1"/>
    <col min="15" max="16" width="23.875" style="337" customWidth="1"/>
    <col min="17" max="17" width="33.375" style="280" customWidth="1"/>
    <col min="18" max="19" width="33.375" style="426" customWidth="1"/>
    <col min="20" max="20" width="123.375" style="426" customWidth="1"/>
    <col min="21" max="21" width="23.75" style="321" customWidth="1"/>
    <col min="22" max="22" width="30.375" style="321" customWidth="1"/>
    <col min="23" max="24" width="9" style="321"/>
    <col min="25" max="48" width="9" style="426"/>
    <col min="49" max="16384" width="9" style="280"/>
  </cols>
  <sheetData>
    <row r="1" spans="1:48" ht="26.75" thickBot="1" x14ac:dyDescent="1.35">
      <c r="A1" s="373" t="s">
        <v>646</v>
      </c>
      <c r="B1" s="321"/>
      <c r="C1" s="321"/>
      <c r="D1" s="647"/>
      <c r="E1" s="374" t="s">
        <v>644</v>
      </c>
      <c r="F1" s="321"/>
      <c r="G1" s="321"/>
      <c r="H1" s="320"/>
      <c r="I1" s="320"/>
      <c r="J1" s="320"/>
      <c r="K1" s="446"/>
      <c r="L1" s="394" t="s">
        <v>644</v>
      </c>
      <c r="M1" s="394"/>
      <c r="N1" s="375"/>
      <c r="O1" s="375"/>
      <c r="P1" s="375"/>
      <c r="Q1" s="425" t="s">
        <v>1176</v>
      </c>
      <c r="R1" s="444"/>
      <c r="S1" s="445"/>
    </row>
    <row r="2" spans="1:48" ht="44.65" customHeight="1" x14ac:dyDescent="1.1000000000000001">
      <c r="A2" s="1393" t="s">
        <v>657</v>
      </c>
      <c r="B2" s="1393"/>
      <c r="C2" s="1393"/>
      <c r="D2" s="320"/>
      <c r="E2" s="1025" t="s">
        <v>1324</v>
      </c>
      <c r="F2" s="321"/>
      <c r="G2" s="321"/>
      <c r="H2" s="320"/>
      <c r="I2" s="320"/>
      <c r="J2" s="320"/>
      <c r="K2" s="446"/>
      <c r="L2" s="376"/>
      <c r="M2" s="376"/>
      <c r="N2" s="375"/>
      <c r="O2" s="375"/>
      <c r="P2" s="375"/>
      <c r="Q2" s="879" t="e">
        <f>$Q$7/Factors!$T21</f>
        <v>#DIV/0!</v>
      </c>
      <c r="R2" s="880" t="e">
        <f>$Q$7/Factors!$T23</f>
        <v>#DIV/0!</v>
      </c>
      <c r="S2" s="881" t="e">
        <f>$Q$7/Factors!$T$28</f>
        <v>#DIV/0!</v>
      </c>
      <c r="T2" s="455"/>
    </row>
    <row r="3" spans="1:48" ht="129" customHeight="1" x14ac:dyDescent="1.1000000000000001">
      <c r="A3" s="380" t="s">
        <v>643</v>
      </c>
      <c r="B3" s="1394" t="s">
        <v>1350</v>
      </c>
      <c r="C3" s="1394"/>
      <c r="D3" s="320"/>
      <c r="E3" s="1259" t="e">
        <f>VLOOKUP($H$6,'Tool Reference'!$A$4:$BC$5,6,FALSE)</f>
        <v>#DIV/0!</v>
      </c>
      <c r="F3" s="321"/>
      <c r="G3" s="321"/>
      <c r="H3" s="320"/>
      <c r="I3" s="320"/>
      <c r="J3" s="320"/>
      <c r="K3" s="446"/>
      <c r="L3" s="376"/>
      <c r="M3" s="376"/>
      <c r="N3" s="375"/>
      <c r="O3" s="375"/>
      <c r="P3" s="375"/>
      <c r="Q3" s="706" t="s">
        <v>791</v>
      </c>
      <c r="R3" s="707" t="s">
        <v>683</v>
      </c>
      <c r="S3" s="708" t="s">
        <v>777</v>
      </c>
      <c r="T3" s="456"/>
    </row>
    <row r="4" spans="1:48" s="858" customFormat="1" ht="19.25" thickBot="1" x14ac:dyDescent="1.05">
      <c r="A4" s="878"/>
      <c r="B4" s="878"/>
      <c r="C4" s="878"/>
      <c r="D4" s="648"/>
      <c r="E4" s="878"/>
      <c r="F4" s="878"/>
      <c r="G4" s="878"/>
      <c r="H4" s="1206"/>
      <c r="I4" s="1206"/>
      <c r="J4" s="1206"/>
      <c r="K4" s="877"/>
      <c r="L4" s="376"/>
      <c r="M4" s="376"/>
      <c r="N4" s="912"/>
      <c r="O4" s="912"/>
      <c r="P4" s="912"/>
      <c r="Q4" s="878"/>
      <c r="R4" s="859"/>
      <c r="S4" s="859"/>
      <c r="T4" s="876"/>
      <c r="U4" s="878"/>
      <c r="V4" s="878"/>
      <c r="W4" s="878"/>
      <c r="X4" s="878"/>
      <c r="Y4" s="859"/>
      <c r="Z4" s="859"/>
      <c r="AA4" s="859"/>
      <c r="AB4" s="859"/>
      <c r="AC4" s="859"/>
      <c r="AD4" s="859"/>
      <c r="AE4" s="859"/>
      <c r="AF4" s="859"/>
      <c r="AG4" s="859"/>
      <c r="AH4" s="859"/>
      <c r="AI4" s="859"/>
      <c r="AJ4" s="859"/>
      <c r="AK4" s="859"/>
      <c r="AL4" s="859"/>
      <c r="AM4" s="859"/>
      <c r="AN4" s="859"/>
      <c r="AO4" s="859"/>
      <c r="AP4" s="859"/>
      <c r="AQ4" s="859"/>
      <c r="AR4" s="859"/>
      <c r="AS4" s="859"/>
      <c r="AT4" s="859"/>
      <c r="AU4" s="859"/>
      <c r="AV4" s="859"/>
    </row>
    <row r="5" spans="1:48" ht="43.75" thickBot="1" x14ac:dyDescent="1.35">
      <c r="A5" s="1395" t="s">
        <v>645</v>
      </c>
      <c r="B5" s="1395"/>
      <c r="C5" s="392"/>
      <c r="D5" s="649" t="s">
        <v>634</v>
      </c>
      <c r="E5" s="356">
        <f>VLOOKUP(H6,'Tool Reference'!$A$11:$L$11,2,FALSE)</f>
        <v>1216</v>
      </c>
      <c r="F5" s="633"/>
      <c r="H5" s="320"/>
      <c r="I5" s="363"/>
      <c r="J5" s="320"/>
      <c r="K5" s="634"/>
      <c r="L5" s="322"/>
      <c r="M5" s="322"/>
      <c r="N5" s="322"/>
      <c r="O5" s="912"/>
      <c r="P5" s="912"/>
      <c r="Q5" s="1420" t="str">
        <f>$H$6</f>
        <v>Type Name Here</v>
      </c>
      <c r="R5" s="1421"/>
      <c r="S5" s="1422"/>
      <c r="T5" s="876"/>
      <c r="U5" s="878"/>
      <c r="V5" s="878"/>
      <c r="W5" s="878"/>
    </row>
    <row r="6" spans="1:48" ht="55.5" x14ac:dyDescent="1">
      <c r="A6" s="1396" t="s">
        <v>628</v>
      </c>
      <c r="B6" s="1396"/>
      <c r="C6" s="321"/>
      <c r="D6" s="649" t="s">
        <v>718</v>
      </c>
      <c r="E6" s="403">
        <f>VLOOKUP(H6,'Tool Reference'!$A$11:$T$11,20,FALSE)</f>
        <v>601</v>
      </c>
      <c r="F6" s="321"/>
      <c r="G6" s="1310" t="s">
        <v>1349</v>
      </c>
      <c r="H6" s="1330" t="s">
        <v>1351</v>
      </c>
      <c r="I6" s="1310" t="s">
        <v>1336</v>
      </c>
      <c r="J6" s="1311"/>
      <c r="K6" s="1310" t="s">
        <v>1345</v>
      </c>
      <c r="L6" s="1331"/>
      <c r="M6" s="1331"/>
      <c r="N6" s="1332">
        <f>VLOOKUP($H$6,'Tool Reference'!$A$11:$L$11,3,FALSE)</f>
        <v>0</v>
      </c>
      <c r="O6" s="912"/>
      <c r="P6" s="912"/>
      <c r="Q6" s="871" t="s">
        <v>1173</v>
      </c>
      <c r="R6" s="872" t="s">
        <v>1174</v>
      </c>
      <c r="S6" s="873" t="s">
        <v>1175</v>
      </c>
      <c r="T6" s="876"/>
      <c r="U6" s="878"/>
      <c r="V6" s="878"/>
      <c r="W6" s="878"/>
    </row>
    <row r="7" spans="1:48" ht="63.75" thickBot="1" x14ac:dyDescent="1.1499999999999999">
      <c r="A7" s="1397" t="s">
        <v>647</v>
      </c>
      <c r="B7" s="1397"/>
      <c r="C7" s="321"/>
      <c r="D7" s="649" t="s">
        <v>807</v>
      </c>
      <c r="E7" s="461">
        <f>VLOOKUP(H6,'Tool Reference'!$A$11:$V$11,22,FALSE)</f>
        <v>0</v>
      </c>
      <c r="F7" s="1260"/>
      <c r="G7" s="377" t="s">
        <v>1348</v>
      </c>
      <c r="H7" s="1312"/>
      <c r="I7" s="377" t="s">
        <v>1337</v>
      </c>
      <c r="J7" s="1313"/>
      <c r="K7" s="377" t="s">
        <v>1346</v>
      </c>
      <c r="L7" s="1333" t="e">
        <f>K17/E36</f>
        <v>#DIV/0!</v>
      </c>
      <c r="M7" s="1333"/>
      <c r="N7" s="472">
        <f>VLOOKUP($H$6,'Tool Reference'!$A$11:$L$11,4,FALSE)</f>
        <v>0</v>
      </c>
      <c r="O7" s="912"/>
      <c r="P7" s="912"/>
      <c r="Q7" s="874" t="e">
        <f>SUM(K10:K41)</f>
        <v>#DIV/0!</v>
      </c>
      <c r="R7" s="875" t="e">
        <f>Q7/E3</f>
        <v>#DIV/0!</v>
      </c>
      <c r="S7" s="864">
        <f>SUM(O10:O41)</f>
        <v>0</v>
      </c>
      <c r="T7" s="876"/>
      <c r="U7" s="878"/>
      <c r="V7" s="878"/>
      <c r="W7" s="878"/>
    </row>
    <row r="8" spans="1:48" ht="56.25" thickBot="1" x14ac:dyDescent="0.9">
      <c r="A8" s="1414" t="s">
        <v>632</v>
      </c>
      <c r="B8" s="1414"/>
      <c r="C8" s="322"/>
      <c r="D8" s="1398" t="s">
        <v>1076</v>
      </c>
      <c r="E8" s="1398"/>
      <c r="F8" s="1399"/>
      <c r="G8" s="1314" t="s">
        <v>531</v>
      </c>
      <c r="H8" s="1315"/>
      <c r="I8" s="1316" t="s">
        <v>1338</v>
      </c>
      <c r="J8" s="1317"/>
      <c r="K8" s="1316" t="s">
        <v>1347</v>
      </c>
      <c r="L8" s="1334" t="s">
        <v>1328</v>
      </c>
      <c r="M8" s="1334" t="s">
        <v>1328</v>
      </c>
      <c r="N8" s="1335">
        <f>VLOOKUP($H$6,'Tool Reference'!$A$11:$L$11,5,FALSE)</f>
        <v>0</v>
      </c>
      <c r="O8" s="912"/>
      <c r="P8" s="912"/>
      <c r="Q8" s="441"/>
      <c r="R8" s="455"/>
      <c r="S8" s="455"/>
      <c r="T8" s="876"/>
      <c r="U8" s="878"/>
      <c r="W8" s="878"/>
    </row>
    <row r="9" spans="1:48" s="318" customFormat="1" ht="89.25" customHeight="1" thickBot="1" x14ac:dyDescent="0.9">
      <c r="A9" s="369" t="s">
        <v>0</v>
      </c>
      <c r="B9" s="370" t="s">
        <v>1</v>
      </c>
      <c r="C9" s="652" t="s">
        <v>592</v>
      </c>
      <c r="D9" s="1373" t="s">
        <v>1074</v>
      </c>
      <c r="E9" s="697" t="s">
        <v>25</v>
      </c>
      <c r="F9" s="1207" t="s">
        <v>1075</v>
      </c>
      <c r="G9" s="1384" t="s">
        <v>487</v>
      </c>
      <c r="H9" s="1384"/>
      <c r="I9" s="1385" t="s">
        <v>488</v>
      </c>
      <c r="J9" s="1385"/>
      <c r="K9" s="1236" t="s">
        <v>494</v>
      </c>
      <c r="L9" s="451" t="s">
        <v>495</v>
      </c>
      <c r="M9" s="866" t="s">
        <v>1327</v>
      </c>
      <c r="N9" s="866" t="s">
        <v>497</v>
      </c>
      <c r="O9" s="1237" t="s">
        <v>1105</v>
      </c>
      <c r="P9" s="1294" t="s">
        <v>1335</v>
      </c>
      <c r="Q9" s="1387" t="s">
        <v>500</v>
      </c>
      <c r="R9" s="1388"/>
      <c r="S9" s="1389"/>
      <c r="T9" s="1272" t="s">
        <v>1183</v>
      </c>
      <c r="U9" s="878"/>
      <c r="V9" s="878"/>
      <c r="W9" s="878"/>
      <c r="X9" s="332"/>
      <c r="Y9" s="427"/>
      <c r="Z9" s="427"/>
      <c r="AA9" s="427"/>
      <c r="AB9" s="427"/>
      <c r="AC9" s="427"/>
      <c r="AD9" s="427"/>
      <c r="AE9" s="427"/>
      <c r="AF9" s="427"/>
      <c r="AG9" s="427"/>
      <c r="AH9" s="427"/>
      <c r="AI9" s="427"/>
      <c r="AJ9" s="427"/>
      <c r="AK9" s="427"/>
      <c r="AL9" s="427"/>
      <c r="AM9" s="427"/>
      <c r="AN9" s="427"/>
      <c r="AO9" s="427"/>
      <c r="AP9" s="427"/>
      <c r="AQ9" s="427"/>
      <c r="AR9" s="427"/>
      <c r="AS9" s="427"/>
      <c r="AT9" s="427"/>
      <c r="AU9" s="427"/>
      <c r="AV9" s="427"/>
    </row>
    <row r="10" spans="1:48" ht="54.75" customHeight="1" thickBot="1" x14ac:dyDescent="0.9">
      <c r="A10" s="1416" t="s">
        <v>529</v>
      </c>
      <c r="B10" s="1417" t="s">
        <v>70</v>
      </c>
      <c r="C10" s="508" t="s">
        <v>918</v>
      </c>
      <c r="D10" s="1209" t="s">
        <v>1080</v>
      </c>
      <c r="E10" s="1254" t="e">
        <f>VLOOKUP($H$6,'Tool Reference'!$A$4:$BC$5,4,FALSE)</f>
        <v>#DIV/0!</v>
      </c>
      <c r="F10" s="1255" t="e">
        <f>VLOOKUP($H$6,'Tool Reference'!$A$4:$BC$5,5,FALSE)</f>
        <v>#DIV/0!</v>
      </c>
      <c r="G10" s="383" t="s">
        <v>642</v>
      </c>
      <c r="H10" s="393"/>
      <c r="I10" s="382" t="s">
        <v>1128</v>
      </c>
      <c r="J10" s="506"/>
      <c r="K10" s="1306">
        <f>_xlfn.IFNA(VLOOKUP($H$10,Infrastructure!A7:I16,9,FALSE),0)</f>
        <v>0</v>
      </c>
      <c r="L10" s="1307">
        <f>IFERROR(K10/E10,0)</f>
        <v>0</v>
      </c>
      <c r="M10" s="453">
        <f t="shared" ref="M10:M17" si="0">IFERROR(K10/$E$3,0)</f>
        <v>0</v>
      </c>
      <c r="N10" s="453">
        <f>IFERROR(L10*F10,0)</f>
        <v>0</v>
      </c>
      <c r="O10" s="1308">
        <f>'Cost Data'!L3</f>
        <v>0</v>
      </c>
      <c r="P10" s="1262">
        <f>IFERROR(O10/K10,0)</f>
        <v>0</v>
      </c>
      <c r="Q10" s="1390" t="s">
        <v>1084</v>
      </c>
      <c r="R10" s="1391"/>
      <c r="S10" s="1392"/>
      <c r="T10" s="1212" t="str">
        <f>'Cost Data'!N3</f>
        <v>NREL Quarterly Cost Benchmark Report (2023)  $2,944/kW for community: 500kW to 20MW, and $2,106/kW for utility-scale: 20MW and above</v>
      </c>
    </row>
    <row r="11" spans="1:48" ht="60" customHeight="1" thickBot="1" x14ac:dyDescent="0.9">
      <c r="A11" s="1416"/>
      <c r="B11" s="1417"/>
      <c r="C11" s="435" t="s">
        <v>919</v>
      </c>
      <c r="D11" s="1025" t="s">
        <v>1080</v>
      </c>
      <c r="E11" s="1256" t="e">
        <f>VLOOKUP($H$6,'Tool Reference'!$A$4:$BC$5,4,FALSE)</f>
        <v>#DIV/0!</v>
      </c>
      <c r="F11" s="1026" t="e">
        <f>VLOOKUP($H$6,'Tool Reference'!$A$4:$BC$5,5,FALSE)</f>
        <v>#DIV/0!</v>
      </c>
      <c r="G11" s="385" t="s">
        <v>920</v>
      </c>
      <c r="H11" s="379"/>
      <c r="I11" s="390" t="s">
        <v>1129</v>
      </c>
      <c r="J11" s="395"/>
      <c r="K11" s="767">
        <f>_xlfn.IFNA(VLOOKUP($H$11,Infrastructure!A25:I30,9,FALSE),0)</f>
        <v>0</v>
      </c>
      <c r="L11" s="597">
        <f t="shared" ref="L11:L16" si="1">IFERROR(K11/E11,0)</f>
        <v>0</v>
      </c>
      <c r="M11" s="453">
        <f t="shared" si="0"/>
        <v>0</v>
      </c>
      <c r="N11" s="450">
        <f>IFERROR(L11*F11,0)</f>
        <v>0</v>
      </c>
      <c r="O11" s="867">
        <f>'Cost Data'!L4</f>
        <v>0</v>
      </c>
      <c r="P11" s="1295">
        <f t="shared" ref="P11:P31" si="2">IFERROR(O11/K11,0)</f>
        <v>0</v>
      </c>
      <c r="Q11" s="1381" t="s">
        <v>1084</v>
      </c>
      <c r="R11" s="1382"/>
      <c r="S11" s="1386"/>
      <c r="T11" s="1213" t="str">
        <f>'Cost Data'!N4</f>
        <v>NREL Quarterly Cost Benchmark Report (2023) $4,702/kW for residential: below 500kW,$2,944/kW for community: 500kW to 20MW</v>
      </c>
      <c r="U11" s="878"/>
    </row>
    <row r="12" spans="1:48" ht="41.15" customHeight="1" thickBot="1" x14ac:dyDescent="0.9">
      <c r="A12" s="1416"/>
      <c r="B12" s="1415" t="s">
        <v>610</v>
      </c>
      <c r="C12" s="435" t="s">
        <v>603</v>
      </c>
      <c r="D12" s="1025" t="s">
        <v>1077</v>
      </c>
      <c r="E12" s="894" t="e">
        <f>VLOOKUP($H$6,'Tool Reference'!$A$4:$BC$5,8,FALSE)</f>
        <v>#DIV/0!</v>
      </c>
      <c r="F12" s="1026" t="e">
        <f>VLOOKUP($H$6,'Tool Reference'!$A$4:$BC$5,9,FALSE)</f>
        <v>#DIV/0!</v>
      </c>
      <c r="G12" s="384" t="s">
        <v>616</v>
      </c>
      <c r="H12" s="368"/>
      <c r="I12" s="390"/>
      <c r="J12" s="507"/>
      <c r="K12" s="443" t="e">
        <f>MIN(Renewables!E12,E12)</f>
        <v>#DIV/0!</v>
      </c>
      <c r="L12" s="597">
        <f t="shared" si="1"/>
        <v>0</v>
      </c>
      <c r="M12" s="453">
        <f t="shared" si="0"/>
        <v>0</v>
      </c>
      <c r="N12" s="450">
        <f>IFERROR(L12*F12,0)</f>
        <v>0</v>
      </c>
      <c r="O12" s="867">
        <f>'Cost Data'!L5</f>
        <v>0</v>
      </c>
      <c r="P12" s="1263">
        <f t="shared" si="2"/>
        <v>0</v>
      </c>
      <c r="Q12" s="1381" t="s">
        <v>648</v>
      </c>
      <c r="R12" s="1382"/>
      <c r="S12" s="1386"/>
      <c r="T12" s="1213" t="str">
        <f>'Cost Data'!N5</f>
        <v xml:space="preserve">Cost estimate from Minnesota Geothermal Heat Pump Association, $5,000/ton.  Assumption of 5tons/ home. Does not include incentives. </v>
      </c>
    </row>
    <row r="13" spans="1:48" ht="41.15" customHeight="1" thickBot="1" x14ac:dyDescent="0.9">
      <c r="A13" s="1416"/>
      <c r="B13" s="1415"/>
      <c r="C13" s="435" t="s">
        <v>604</v>
      </c>
      <c r="D13" s="1025" t="s">
        <v>1078</v>
      </c>
      <c r="E13" s="894" t="e">
        <f>VLOOKUP($H$6,'Tool Reference'!$A$4:$BC$5,10,FALSE)</f>
        <v>#DIV/0!</v>
      </c>
      <c r="F13" s="1026" t="e">
        <f>VLOOKUP($H$6,'Tool Reference'!$A$4:$BC$5,11,FALSE)</f>
        <v>#DIV/0!</v>
      </c>
      <c r="G13" s="384" t="s">
        <v>1309</v>
      </c>
      <c r="H13" s="368"/>
      <c r="I13" s="390"/>
      <c r="J13" s="507"/>
      <c r="K13" s="443" t="e">
        <f>MIN(Renewables!E4,E13)</f>
        <v>#DIV/0!</v>
      </c>
      <c r="L13" s="597">
        <f t="shared" si="1"/>
        <v>0</v>
      </c>
      <c r="M13" s="453">
        <f t="shared" si="0"/>
        <v>0</v>
      </c>
      <c r="N13" s="450">
        <f t="shared" ref="N13:N38" si="3">IFERROR(L13*F13,0)</f>
        <v>0</v>
      </c>
      <c r="O13" s="867">
        <f>'Cost Data'!L6</f>
        <v>0</v>
      </c>
      <c r="P13" s="1263">
        <f t="shared" si="2"/>
        <v>0</v>
      </c>
      <c r="Q13" s="1381" t="s">
        <v>648</v>
      </c>
      <c r="R13" s="1382"/>
      <c r="S13" s="1386"/>
      <c r="T13" s="1213" t="str">
        <f>'Cost Data'!N6</f>
        <v xml:space="preserve">Cost estimate from Minnesota Geothermal Heat Pump Association, $5,000/ton.  Assumption of 5 tons/MF unit. Does not include incentives. </v>
      </c>
    </row>
    <row r="14" spans="1:48" ht="41.15" customHeight="1" thickBot="1" x14ac:dyDescent="0.9">
      <c r="A14" s="1416"/>
      <c r="B14" s="1415"/>
      <c r="C14" s="435" t="s">
        <v>605</v>
      </c>
      <c r="D14" s="1025" t="s">
        <v>1079</v>
      </c>
      <c r="E14" s="894" t="e">
        <f>VLOOKUP($H$6,'Tool Reference'!$A$4:$BC$5,12,FALSE)</f>
        <v>#DIV/0!</v>
      </c>
      <c r="F14" s="1026" t="e">
        <f>VLOOKUP($H$6,'Tool Reference'!$A$4:$BC$5,13,FALSE)</f>
        <v>#DIV/0!</v>
      </c>
      <c r="G14" s="384" t="s">
        <v>618</v>
      </c>
      <c r="H14" s="368"/>
      <c r="I14" s="390"/>
      <c r="J14" s="507"/>
      <c r="K14" s="443">
        <f>IFERROR(MIN(Renewables!E8,E14),0)</f>
        <v>0</v>
      </c>
      <c r="L14" s="597">
        <f t="shared" si="1"/>
        <v>0</v>
      </c>
      <c r="M14" s="453">
        <f t="shared" si="0"/>
        <v>0</v>
      </c>
      <c r="N14" s="450">
        <f t="shared" si="3"/>
        <v>0</v>
      </c>
      <c r="O14" s="867">
        <f>'Cost Data'!L7</f>
        <v>0</v>
      </c>
      <c r="P14" s="1263">
        <f t="shared" si="2"/>
        <v>0</v>
      </c>
      <c r="Q14" s="1381" t="s">
        <v>648</v>
      </c>
      <c r="R14" s="1382"/>
      <c r="S14" s="1386"/>
      <c r="T14" s="1213" t="str">
        <f>'Cost Data'!N7</f>
        <v xml:space="preserve">Cost estimate from Minnesota Geothermal Heat Pump Association, $5,000/ton.  Assumption of 23 tons/commercial bldg. Does not include incentives. </v>
      </c>
    </row>
    <row r="15" spans="1:48" ht="41.15" customHeight="1" thickBot="1" x14ac:dyDescent="0.9">
      <c r="A15" s="1416"/>
      <c r="B15" s="1403" t="s">
        <v>1069</v>
      </c>
      <c r="C15" s="435" t="s">
        <v>1071</v>
      </c>
      <c r="D15" s="1025" t="s">
        <v>1080</v>
      </c>
      <c r="E15" s="894" t="e">
        <f>VLOOKUP($H$6,'Tool Reference'!$A$4:$BC$5,4,FALSE)</f>
        <v>#DIV/0!</v>
      </c>
      <c r="F15" s="1026" t="e">
        <f>VLOOKUP($H$6,'Tool Reference'!$A$4:$BC$5,5,FALSE)</f>
        <v>#DIV/0!</v>
      </c>
      <c r="G15" s="384" t="s">
        <v>1099</v>
      </c>
      <c r="H15" s="680"/>
      <c r="I15" s="390" t="s">
        <v>1085</v>
      </c>
      <c r="J15" s="395"/>
      <c r="K15" s="588">
        <f>Renewables!H16</f>
        <v>0</v>
      </c>
      <c r="L15" s="597">
        <f t="shared" si="1"/>
        <v>0</v>
      </c>
      <c r="M15" s="453">
        <f t="shared" si="0"/>
        <v>0</v>
      </c>
      <c r="N15" s="450">
        <f>IFERROR(L15*F15,0)</f>
        <v>0</v>
      </c>
      <c r="O15" s="867">
        <f>'Cost Data'!L8</f>
        <v>0</v>
      </c>
      <c r="P15" s="1263">
        <f t="shared" si="2"/>
        <v>0</v>
      </c>
      <c r="Q15" s="1381" t="s">
        <v>650</v>
      </c>
      <c r="R15" s="1382"/>
      <c r="S15" s="1386"/>
      <c r="T15" s="1213" t="str">
        <f>'Cost Data'!N8</f>
        <v>NREL 2022 Cost of Wind Energy. $8,425/kW for residential: below 500kW, $3,270/kW for community: 500kW to 20MW, and $1,750/kW for utility-scale: 20MW and above</v>
      </c>
    </row>
    <row r="16" spans="1:48" ht="41.15" customHeight="1" thickBot="1" x14ac:dyDescent="0.9">
      <c r="A16" s="1416"/>
      <c r="B16" s="1403"/>
      <c r="C16" s="435" t="s">
        <v>1070</v>
      </c>
      <c r="D16" s="1025" t="s">
        <v>1080</v>
      </c>
      <c r="E16" s="894" t="e">
        <f>VLOOKUP($H$6,'Tool Reference'!$A$4:$BC$5,4,FALSE)</f>
        <v>#DIV/0!</v>
      </c>
      <c r="F16" s="1026" t="e">
        <f>VLOOKUP($H$6,'Tool Reference'!$A$4:$BC$5,5,FALSE)</f>
        <v>#DIV/0!</v>
      </c>
      <c r="G16" s="384" t="s">
        <v>1100</v>
      </c>
      <c r="H16" s="680"/>
      <c r="I16" s="390" t="s">
        <v>1086</v>
      </c>
      <c r="J16" s="395"/>
      <c r="K16" s="443">
        <f>_xlfn.IFNA(VLOOKUP(H16,Renewables!$A$36:$F$58,6,FALSE),0)</f>
        <v>0</v>
      </c>
      <c r="L16" s="597">
        <f t="shared" si="1"/>
        <v>0</v>
      </c>
      <c r="M16" s="453">
        <f t="shared" si="0"/>
        <v>0</v>
      </c>
      <c r="N16" s="450">
        <f t="shared" si="3"/>
        <v>0</v>
      </c>
      <c r="O16" s="867">
        <f>'Cost Data'!L9</f>
        <v>0</v>
      </c>
      <c r="P16" s="1263">
        <f t="shared" si="2"/>
        <v>0</v>
      </c>
      <c r="Q16" s="1381" t="s">
        <v>21</v>
      </c>
      <c r="R16" s="1382"/>
      <c r="S16" s="1386"/>
      <c r="T16" s="1213" t="str">
        <f>'Cost Data'!N9</f>
        <v>NREL Quarterly Cost Benchmark Report (2023) $2,682/kW for residential: below 500kW, $1,761/kW for community: 500kW to 20MW, and $1,161/kW for utility-scale: 20MW and above</v>
      </c>
    </row>
    <row r="17" spans="1:67" ht="41.15" customHeight="1" thickBot="1" x14ac:dyDescent="0.9">
      <c r="A17" s="1416"/>
      <c r="B17" s="1403"/>
      <c r="C17" s="1114" t="s">
        <v>823</v>
      </c>
      <c r="D17" s="1211" t="s">
        <v>1080</v>
      </c>
      <c r="E17" s="1027" t="e">
        <f>VLOOKUP($H$6,'Tool Reference'!$A$4:$BC$5,4,FALSE)</f>
        <v>#DIV/0!</v>
      </c>
      <c r="F17" s="1028" t="e">
        <f>VLOOKUP($H$6,'Tool Reference'!$A$4:$BC$5,5,FALSE)</f>
        <v>#DIV/0!</v>
      </c>
      <c r="G17" s="388" t="s">
        <v>1102</v>
      </c>
      <c r="H17" s="1116"/>
      <c r="I17" s="691" t="s">
        <v>852</v>
      </c>
      <c r="J17" s="692"/>
      <c r="K17" s="768">
        <f>Renewables!F64</f>
        <v>0</v>
      </c>
      <c r="L17" s="769">
        <f>IFERROR(K17/E17,0)</f>
        <v>0</v>
      </c>
      <c r="M17" s="1264">
        <f t="shared" si="0"/>
        <v>0</v>
      </c>
      <c r="N17" s="452">
        <f>IFERROR(L17*F17,0)</f>
        <v>0</v>
      </c>
      <c r="O17" s="868">
        <f>'Cost Data'!L10</f>
        <v>0</v>
      </c>
      <c r="P17" s="1265">
        <f t="shared" si="2"/>
        <v>0</v>
      </c>
      <c r="Q17" s="1375" t="s">
        <v>1025</v>
      </c>
      <c r="R17" s="1376"/>
      <c r="S17" s="1377"/>
      <c r="T17" s="1271" t="str">
        <f>'Cost Data'!N10</f>
        <v>$2,574/kW for non-powered dams, low-cost lakes. NREL ATB - Hydropower</v>
      </c>
    </row>
    <row r="18" spans="1:67" ht="63" customHeight="1" thickBot="1" x14ac:dyDescent="0.9">
      <c r="A18" s="1409" t="s">
        <v>530</v>
      </c>
      <c r="B18" s="1412" t="s">
        <v>606</v>
      </c>
      <c r="C18" s="1029" t="s">
        <v>1002</v>
      </c>
      <c r="D18" s="1273" t="s">
        <v>476</v>
      </c>
      <c r="E18" s="1274" t="e">
        <f>VLOOKUP($H$6,'Tool Reference'!$A$4:$BC$5,34,FALSE)</f>
        <v>#DIV/0!</v>
      </c>
      <c r="F18" s="1275" t="e">
        <f>VLOOKUP($H$6,'Tool Reference'!$A$4:$BC$5,35,FALSE)*'Summary PCAP Table'!W23</f>
        <v>#DIV/0!</v>
      </c>
      <c r="G18" s="1117" t="s">
        <v>616</v>
      </c>
      <c r="H18" s="1030"/>
      <c r="I18" s="385" t="s">
        <v>1309</v>
      </c>
      <c r="J18" s="1278"/>
      <c r="K18" s="766" t="e">
        <f>MIN(Buildings!J5,E18*'Summary PCAP Table'!W23)</f>
        <v>#DIV/0!</v>
      </c>
      <c r="L18" s="1032">
        <f>MIN(1,IFERROR(K18/E18,0))</f>
        <v>0</v>
      </c>
      <c r="M18" s="1032">
        <f t="shared" ref="M18:M28" si="4">IFERROR(L18*F18,0)</f>
        <v>0</v>
      </c>
      <c r="N18" s="1280">
        <f t="shared" ref="N18:N28" si="5">IFERROR(L18*F18,0)</f>
        <v>0</v>
      </c>
      <c r="O18" s="1033">
        <f>'Cost Data'!L29</f>
        <v>0</v>
      </c>
      <c r="P18" s="1305">
        <f t="shared" si="2"/>
        <v>0</v>
      </c>
      <c r="Q18" s="1378" t="s">
        <v>653</v>
      </c>
      <c r="R18" s="1379"/>
      <c r="S18" s="1380"/>
      <c r="T18" s="1329" t="str">
        <f>'Cost Data'!N29</f>
        <v>$4,782/per home represents the median cost of weatherization measures (attic + wall insulation, envelope improvements) from sampled home retrofit data. LBNL: Cost of Decarbonization &amp; Energy.  Assumption that cost per MF is 2/3rd the cost due to shared building envelope</v>
      </c>
      <c r="U18" s="426"/>
      <c r="V18" s="426"/>
      <c r="W18" s="426"/>
      <c r="X18" s="426"/>
      <c r="AW18" s="426"/>
      <c r="AX18" s="426"/>
      <c r="AY18" s="426"/>
      <c r="AZ18" s="426"/>
      <c r="BA18" s="426"/>
      <c r="BB18" s="426"/>
      <c r="BC18" s="426"/>
      <c r="BD18" s="426"/>
      <c r="BE18" s="426"/>
      <c r="BF18" s="426"/>
      <c r="BG18" s="426"/>
      <c r="BH18" s="426"/>
      <c r="BI18" s="426"/>
      <c r="BJ18" s="426"/>
      <c r="BK18" s="426"/>
      <c r="BL18" s="426"/>
      <c r="BM18" s="426"/>
      <c r="BN18" s="426"/>
      <c r="BO18" s="426"/>
    </row>
    <row r="19" spans="1:67" s="480" customFormat="1" ht="67.5" customHeight="1" x14ac:dyDescent="0.75">
      <c r="A19" s="1410"/>
      <c r="B19" s="1404"/>
      <c r="C19" s="895" t="s">
        <v>378</v>
      </c>
      <c r="D19" s="1210" t="s">
        <v>1073</v>
      </c>
      <c r="E19" s="1208" t="e">
        <f>VLOOKUP($H$6,'Tool Reference'!$A$4:$BC$5,24,FALSE)</f>
        <v>#DIV/0!</v>
      </c>
      <c r="F19" s="1115" t="e">
        <f>VLOOKUP($H$6,'Tool Reference'!$A$4:$BC$5,25,FALSE)*'Summary PCAP Table'!W22</f>
        <v>#DIV/0!</v>
      </c>
      <c r="G19" s="589" t="s">
        <v>616</v>
      </c>
      <c r="H19" s="1034"/>
      <c r="I19" s="384" t="s">
        <v>1309</v>
      </c>
      <c r="J19" s="1118"/>
      <c r="K19" s="588" t="e">
        <f>MIN(Buildings!I9,E19*'Summary PCAP Table'!W22)</f>
        <v>#DIV/0!</v>
      </c>
      <c r="L19" s="1035">
        <f t="shared" ref="L19:L38" si="6">MIN(1,IFERROR(K19/E19,0))</f>
        <v>0</v>
      </c>
      <c r="M19" s="1035">
        <f t="shared" si="4"/>
        <v>0</v>
      </c>
      <c r="N19" s="450">
        <f t="shared" si="5"/>
        <v>0</v>
      </c>
      <c r="O19" s="1033">
        <f>'Cost Data'!L31</f>
        <v>0</v>
      </c>
      <c r="P19" s="1296">
        <f t="shared" si="2"/>
        <v>0</v>
      </c>
      <c r="Q19" s="1381" t="s">
        <v>957</v>
      </c>
      <c r="R19" s="1382"/>
      <c r="S19" s="1383"/>
      <c r="T19" s="1213" t="str">
        <f>'Cost Data'!N30</f>
        <v>$11,422/per home and per unit represents full replacement to higher efficiency version of one of each of the following appliances: refrigerator, dishwasher, washing machine, clothes dryer, and central air conditioning.  LBNL: Cost of Decarbonization &amp; Energy</v>
      </c>
      <c r="U19" s="426"/>
      <c r="V19" s="426"/>
      <c r="W19" s="426"/>
      <c r="X19" s="426"/>
      <c r="Y19" s="426"/>
      <c r="Z19" s="426"/>
      <c r="AA19" s="426"/>
      <c r="AB19" s="426"/>
      <c r="AC19" s="426"/>
      <c r="AD19" s="426"/>
      <c r="AE19" s="426"/>
      <c r="AF19" s="426"/>
      <c r="AG19" s="426"/>
      <c r="AH19" s="426"/>
      <c r="AI19" s="426"/>
      <c r="AJ19" s="426"/>
      <c r="AK19" s="426"/>
      <c r="AL19" s="426"/>
      <c r="AM19" s="426"/>
      <c r="AN19" s="426"/>
      <c r="AO19" s="426"/>
      <c r="AP19" s="426"/>
      <c r="AQ19" s="426"/>
      <c r="AR19" s="426"/>
      <c r="AS19" s="426"/>
      <c r="AT19" s="426"/>
      <c r="AU19" s="426"/>
      <c r="AV19" s="426"/>
      <c r="AW19" s="426"/>
      <c r="AX19" s="426"/>
      <c r="AY19" s="426"/>
      <c r="AZ19" s="426"/>
      <c r="BA19" s="426"/>
      <c r="BB19" s="426"/>
      <c r="BC19" s="426"/>
      <c r="BD19" s="426"/>
      <c r="BE19" s="426"/>
      <c r="BF19" s="426"/>
      <c r="BG19" s="426"/>
      <c r="BH19" s="426"/>
      <c r="BI19" s="426"/>
      <c r="BJ19" s="426"/>
      <c r="BK19" s="426"/>
      <c r="BL19" s="426"/>
      <c r="BM19" s="426"/>
      <c r="BN19" s="426"/>
      <c r="BO19" s="426"/>
    </row>
    <row r="20" spans="1:67" s="889" customFormat="1" ht="40.15" customHeight="1" x14ac:dyDescent="0.75">
      <c r="A20" s="1410"/>
      <c r="B20" s="1404"/>
      <c r="C20" s="895" t="s">
        <v>1195</v>
      </c>
      <c r="D20" s="1210" t="s">
        <v>1209</v>
      </c>
      <c r="E20" s="1208" t="e">
        <f>VLOOKUP($H$6,'Tool Reference'!$A$4:$BC$5,14,FALSE)</f>
        <v>#DIV/0!</v>
      </c>
      <c r="F20" s="1115" t="e">
        <f>VLOOKUP($H$6,'Tool Reference'!$A$4:$BC$5,15,FALSE)*'Summary PCAP Table'!W20</f>
        <v>#DIV/0!</v>
      </c>
      <c r="G20" s="589" t="s">
        <v>616</v>
      </c>
      <c r="H20" s="1034"/>
      <c r="I20" s="384" t="s">
        <v>1309</v>
      </c>
      <c r="J20" s="1118"/>
      <c r="K20" s="588" t="e">
        <f>MIN(Buildings!I43,E20*'Summary PCAP Table'!W20)</f>
        <v>#DIV/0!</v>
      </c>
      <c r="L20" s="1035">
        <f>MIN(1,IFERROR(K20/E20,0))</f>
        <v>0</v>
      </c>
      <c r="M20" s="1035">
        <f t="shared" si="4"/>
        <v>0</v>
      </c>
      <c r="N20" s="450">
        <f t="shared" si="5"/>
        <v>0</v>
      </c>
      <c r="O20" s="1033">
        <f>'Cost Data'!L38</f>
        <v>0</v>
      </c>
      <c r="P20" s="1297">
        <f t="shared" si="2"/>
        <v>0</v>
      </c>
      <c r="Q20" s="1381" t="s">
        <v>1190</v>
      </c>
      <c r="R20" s="1382"/>
      <c r="S20" s="1383"/>
      <c r="T20" s="1213" t="str">
        <f>'Cost Data'!N38</f>
        <v>$20,400 estimate for cost for a residential system (inclusive of installation) from the Building Decarbonization Coalition</v>
      </c>
      <c r="U20" s="888"/>
      <c r="V20" s="888"/>
      <c r="W20" s="888"/>
      <c r="X20" s="888"/>
      <c r="Y20" s="888"/>
      <c r="Z20" s="888"/>
      <c r="AA20" s="888"/>
      <c r="AB20" s="888"/>
      <c r="AC20" s="888"/>
      <c r="AD20" s="888"/>
      <c r="AE20" s="888"/>
      <c r="AF20" s="888"/>
      <c r="AG20" s="888"/>
      <c r="AH20" s="888"/>
      <c r="AI20" s="888"/>
      <c r="AJ20" s="888"/>
      <c r="AK20" s="888"/>
      <c r="AL20" s="888"/>
      <c r="AM20" s="888"/>
      <c r="AN20" s="888"/>
      <c r="AO20" s="888"/>
      <c r="AP20" s="888"/>
      <c r="AQ20" s="888"/>
      <c r="AR20" s="888"/>
      <c r="AS20" s="888"/>
      <c r="AT20" s="888"/>
      <c r="AU20" s="888"/>
      <c r="AV20" s="888"/>
      <c r="AW20" s="888"/>
      <c r="AX20" s="888"/>
      <c r="AY20" s="888"/>
      <c r="AZ20" s="888"/>
      <c r="BA20" s="888"/>
      <c r="BB20" s="888"/>
      <c r="BC20" s="888"/>
      <c r="BD20" s="888"/>
      <c r="BE20" s="888"/>
      <c r="BF20" s="888"/>
      <c r="BG20" s="888"/>
      <c r="BH20" s="888"/>
      <c r="BI20" s="888"/>
      <c r="BJ20" s="888"/>
      <c r="BK20" s="888"/>
      <c r="BL20" s="888"/>
      <c r="BM20" s="888"/>
      <c r="BN20" s="888"/>
      <c r="BO20" s="888"/>
    </row>
    <row r="21" spans="1:67" ht="40.15" customHeight="1" x14ac:dyDescent="0.75">
      <c r="A21" s="1410"/>
      <c r="B21" s="1404"/>
      <c r="C21" s="895" t="s">
        <v>393</v>
      </c>
      <c r="D21" s="1210" t="s">
        <v>1073</v>
      </c>
      <c r="E21" s="1208" t="e">
        <f>VLOOKUP($H$6,'Tool Reference'!$A$4:$BC$5,24,FALSE)</f>
        <v>#DIV/0!</v>
      </c>
      <c r="F21" s="1115" t="e">
        <f>VLOOKUP($H$6,'Tool Reference'!$A$4:$BC$5,25,FALSE)*'Summary PCAP Table'!W25</f>
        <v>#DIV/0!</v>
      </c>
      <c r="G21" s="589" t="s">
        <v>616</v>
      </c>
      <c r="H21" s="1034"/>
      <c r="I21" s="384" t="s">
        <v>1309</v>
      </c>
      <c r="J21" s="1118"/>
      <c r="K21" s="588" t="e">
        <f>MIN(Buildings!I13,E21*'Summary PCAP Table'!W25)</f>
        <v>#DIV/0!</v>
      </c>
      <c r="L21" s="1035">
        <f t="shared" si="6"/>
        <v>0</v>
      </c>
      <c r="M21" s="1035">
        <f t="shared" si="4"/>
        <v>0</v>
      </c>
      <c r="N21" s="450">
        <f t="shared" si="5"/>
        <v>0</v>
      </c>
      <c r="O21" s="1033">
        <f>'Cost Data'!L33</f>
        <v>0</v>
      </c>
      <c r="P21" s="1297">
        <f t="shared" si="2"/>
        <v>0</v>
      </c>
      <c r="Q21" s="1381" t="s">
        <v>654</v>
      </c>
      <c r="R21" s="1382"/>
      <c r="S21" s="1383"/>
      <c r="T21" s="1213" t="str">
        <f>'Cost Data'!N31</f>
        <v>$144/per home &amp; MF unit of for LED bulbs represents median cost per home from sampled home retrofit data. LBNL: Cost of Decarbonization &amp; Energy</v>
      </c>
      <c r="U21" s="426"/>
      <c r="V21" s="426"/>
      <c r="W21" s="426"/>
      <c r="X21" s="426"/>
      <c r="AW21" s="426"/>
      <c r="AX21" s="426"/>
      <c r="AY21" s="426"/>
      <c r="AZ21" s="426"/>
      <c r="BA21" s="426"/>
      <c r="BB21" s="426"/>
      <c r="BC21" s="426"/>
      <c r="BD21" s="426"/>
      <c r="BE21" s="426"/>
      <c r="BF21" s="426"/>
      <c r="BG21" s="426"/>
      <c r="BH21" s="426"/>
      <c r="BI21" s="426"/>
      <c r="BJ21" s="426"/>
      <c r="BK21" s="426"/>
      <c r="BL21" s="426"/>
      <c r="BM21" s="426"/>
      <c r="BN21" s="426"/>
      <c r="BO21" s="426"/>
    </row>
    <row r="22" spans="1:67" s="1037" customFormat="1" ht="40.15" customHeight="1" x14ac:dyDescent="0.75">
      <c r="A22" s="1410"/>
      <c r="B22" s="1404"/>
      <c r="C22" s="1043" t="s">
        <v>1235</v>
      </c>
      <c r="D22" s="1210" t="s">
        <v>476</v>
      </c>
      <c r="E22" s="1208" t="e">
        <f>VLOOKUP($H$6,'Tool Reference'!$A$4:$BC$5,34,FALSE)</f>
        <v>#DIV/0!</v>
      </c>
      <c r="F22" s="1115" t="e">
        <f>VLOOKUP($H$6,'Tool Reference'!$A$4:$BC$5,35,FALSE)*'Summary PCAP Table'!W26</f>
        <v>#DIV/0!</v>
      </c>
      <c r="G22" s="589" t="s">
        <v>616</v>
      </c>
      <c r="H22" s="1034"/>
      <c r="I22" s="384" t="s">
        <v>1309</v>
      </c>
      <c r="J22" s="1118"/>
      <c r="K22" s="588" t="e">
        <f>MIN(Buildings!I32,E22*'Summary PCAP Table'!$W$26)</f>
        <v>#DIV/0!</v>
      </c>
      <c r="L22" s="1035">
        <f>MIN(1,IFERROR(K22/E22,0))</f>
        <v>0</v>
      </c>
      <c r="M22" s="1035">
        <f t="shared" si="4"/>
        <v>0</v>
      </c>
      <c r="N22" s="450">
        <f t="shared" si="5"/>
        <v>0</v>
      </c>
      <c r="O22" s="1033">
        <f>'Cost Data'!L32</f>
        <v>0</v>
      </c>
      <c r="P22" s="1297">
        <f t="shared" si="2"/>
        <v>0</v>
      </c>
      <c r="Q22" s="1381" t="s">
        <v>1015</v>
      </c>
      <c r="R22" s="1382"/>
      <c r="S22" s="1383"/>
      <c r="T22" s="1213" t="str">
        <f>'Cost Data'!N32</f>
        <v>$435/for thermostat+install.  Assumes installed cost of one thermostat per building or multifamily unit.  energycodes.gov</v>
      </c>
      <c r="U22" s="1036"/>
      <c r="V22" s="1036"/>
      <c r="W22" s="1036"/>
      <c r="X22" s="1036"/>
      <c r="Y22" s="1036"/>
      <c r="Z22" s="1036"/>
      <c r="AA22" s="1036"/>
      <c r="AB22" s="1036"/>
      <c r="AC22" s="1036"/>
      <c r="AD22" s="1036"/>
      <c r="AE22" s="1036"/>
      <c r="AF22" s="1036"/>
      <c r="AG22" s="1036"/>
      <c r="AH22" s="1036"/>
      <c r="AI22" s="1036"/>
      <c r="AJ22" s="1036"/>
      <c r="AK22" s="1036"/>
      <c r="AL22" s="1036"/>
      <c r="AM22" s="1036"/>
      <c r="AN22" s="1036"/>
      <c r="AO22" s="1036"/>
      <c r="AP22" s="1036"/>
      <c r="AQ22" s="1036"/>
      <c r="AR22" s="1036"/>
      <c r="AS22" s="1036"/>
      <c r="AT22" s="1036"/>
      <c r="AU22" s="1036"/>
      <c r="AV22" s="1036"/>
      <c r="AW22" s="1036"/>
      <c r="AX22" s="1036"/>
      <c r="AY22" s="1036"/>
      <c r="AZ22" s="1036"/>
      <c r="BA22" s="1036"/>
      <c r="BB22" s="1036"/>
      <c r="BC22" s="1036"/>
      <c r="BD22" s="1036"/>
      <c r="BE22" s="1036"/>
      <c r="BF22" s="1036"/>
      <c r="BG22" s="1036"/>
      <c r="BH22" s="1036"/>
      <c r="BI22" s="1036"/>
      <c r="BJ22" s="1036"/>
      <c r="BK22" s="1036"/>
      <c r="BL22" s="1036"/>
      <c r="BM22" s="1036"/>
      <c r="BN22" s="1036"/>
      <c r="BO22" s="1036"/>
    </row>
    <row r="23" spans="1:67" ht="40.15" customHeight="1" x14ac:dyDescent="0.75">
      <c r="A23" s="1410"/>
      <c r="B23" s="1413"/>
      <c r="C23" s="895" t="s">
        <v>379</v>
      </c>
      <c r="D23" s="1210" t="s">
        <v>476</v>
      </c>
      <c r="E23" s="1208" t="e">
        <f>VLOOKUP($H$6,'Tool Reference'!$A$4:$BC$5,34,FALSE)</f>
        <v>#DIV/0!</v>
      </c>
      <c r="F23" s="1115" t="e">
        <f>VLOOKUP($H$6,'Tool Reference'!$A$4:$BC$5,35,FALSE)*'Summary PCAP Table'!W21</f>
        <v>#DIV/0!</v>
      </c>
      <c r="G23" s="589" t="s">
        <v>616</v>
      </c>
      <c r="H23" s="1034"/>
      <c r="I23" s="384" t="s">
        <v>1309</v>
      </c>
      <c r="J23" s="1118"/>
      <c r="K23" s="588" t="e">
        <f>MIN(Buildings!I48,E23*'Summary PCAP Table'!W21)</f>
        <v>#DIV/0!</v>
      </c>
      <c r="L23" s="1035">
        <f t="shared" si="6"/>
        <v>0</v>
      </c>
      <c r="M23" s="1035">
        <f t="shared" si="4"/>
        <v>0</v>
      </c>
      <c r="N23" s="450">
        <f t="shared" si="5"/>
        <v>0</v>
      </c>
      <c r="O23" s="1033">
        <f>'Cost Data'!L33</f>
        <v>0</v>
      </c>
      <c r="P23" s="1297">
        <f t="shared" si="2"/>
        <v>0</v>
      </c>
      <c r="Q23" s="1381" t="s">
        <v>651</v>
      </c>
      <c r="R23" s="1382"/>
      <c r="S23" s="1383"/>
      <c r="T23" s="1213" t="str">
        <f>'Cost Data'!N33</f>
        <v xml:space="preserve">$30/home or unit. Includes cost of installing low-flow faucet aerators and low-flow showerheads only. Assuming 6 fixtures (2 showerheads, 4 faucets) per home. </v>
      </c>
      <c r="U23" s="426"/>
      <c r="V23" s="426"/>
      <c r="W23" s="426"/>
      <c r="X23" s="426"/>
      <c r="AW23" s="426"/>
      <c r="AX23" s="426"/>
      <c r="AY23" s="426"/>
      <c r="AZ23" s="426"/>
      <c r="BA23" s="426"/>
      <c r="BB23" s="426"/>
      <c r="BC23" s="426"/>
      <c r="BD23" s="426"/>
      <c r="BE23" s="426"/>
      <c r="BF23" s="426"/>
      <c r="BG23" s="426"/>
      <c r="BH23" s="426"/>
      <c r="BI23" s="426"/>
      <c r="BJ23" s="426"/>
      <c r="BK23" s="426"/>
      <c r="BL23" s="426"/>
      <c r="BM23" s="426"/>
      <c r="BN23" s="426"/>
      <c r="BO23" s="426"/>
    </row>
    <row r="24" spans="1:67" ht="40.15" customHeight="1" x14ac:dyDescent="0.75">
      <c r="A24" s="1410"/>
      <c r="B24" s="1403" t="s">
        <v>1244</v>
      </c>
      <c r="C24" s="895" t="s">
        <v>1003</v>
      </c>
      <c r="D24" s="1210" t="s">
        <v>1072</v>
      </c>
      <c r="E24" s="1208" t="e">
        <f>VLOOKUP($H$6,'Tool Reference'!$A$4:$BC$5,22,FALSE)</f>
        <v>#DIV/0!</v>
      </c>
      <c r="F24" s="1115" t="e">
        <f>VLOOKUP($H$6,'Tool Reference'!$A$4:$BC$5,23,FALSE)*'Summary PCAP Table'!W24</f>
        <v>#DIV/0!</v>
      </c>
      <c r="G24" s="589" t="s">
        <v>618</v>
      </c>
      <c r="H24" s="1034"/>
      <c r="I24" s="1031"/>
      <c r="J24" s="1289"/>
      <c r="K24" s="588" t="e">
        <f>MIN(Buildings!I24,E24*'Summary PCAP Table'!W24)</f>
        <v>#DIV/0!</v>
      </c>
      <c r="L24" s="1035">
        <f t="shared" si="6"/>
        <v>0</v>
      </c>
      <c r="M24" s="1035">
        <f t="shared" si="4"/>
        <v>0</v>
      </c>
      <c r="N24" s="450">
        <f t="shared" si="5"/>
        <v>0</v>
      </c>
      <c r="O24" s="1033">
        <f>'Cost Data'!L34</f>
        <v>0</v>
      </c>
      <c r="P24" s="1297">
        <f t="shared" si="2"/>
        <v>0</v>
      </c>
      <c r="Q24" s="1381" t="s">
        <v>649</v>
      </c>
      <c r="R24" s="1382"/>
      <c r="S24" s="1383"/>
      <c r="T24" s="1213" t="str">
        <f>'Cost Data'!N34</f>
        <v>Assume $2.86/SF applied to a 5,000 SF commercial building. Represents median cost of weatherization measures (attic + wall insulation, envelope improvements) from sampled home retrofit data. LBNL: Cost of Decarbonization &amp; Energy</v>
      </c>
      <c r="U24" s="426"/>
      <c r="V24" s="426"/>
      <c r="W24" s="426"/>
      <c r="X24" s="426"/>
      <c r="AW24" s="426"/>
      <c r="AX24" s="426"/>
      <c r="AY24" s="426"/>
      <c r="AZ24" s="426"/>
      <c r="BA24" s="426"/>
      <c r="BB24" s="426"/>
      <c r="BC24" s="426"/>
      <c r="BD24" s="426"/>
      <c r="BE24" s="426"/>
      <c r="BF24" s="426"/>
      <c r="BG24" s="426"/>
      <c r="BH24" s="426"/>
      <c r="BI24" s="426"/>
      <c r="BJ24" s="426"/>
      <c r="BK24" s="426"/>
      <c r="BL24" s="426"/>
      <c r="BM24" s="426"/>
      <c r="BN24" s="426"/>
      <c r="BO24" s="426"/>
    </row>
    <row r="25" spans="1:67" s="889" customFormat="1" ht="40.15" customHeight="1" x14ac:dyDescent="0.75">
      <c r="A25" s="1410"/>
      <c r="B25" s="1404"/>
      <c r="C25" s="895" t="s">
        <v>1194</v>
      </c>
      <c r="D25" s="1210" t="s">
        <v>1321</v>
      </c>
      <c r="E25" s="1208" t="e">
        <f>VLOOKUP($H$6,'Tool Reference'!$A$4:$BC$5,12,FALSE)</f>
        <v>#DIV/0!</v>
      </c>
      <c r="F25" s="1115" t="e">
        <f>VLOOKUP($H$6,'Tool Reference'!$A$4:$BC$5,13,FALSE)*'Summary PCAP Table'!W20</f>
        <v>#DIV/0!</v>
      </c>
      <c r="G25" s="589" t="s">
        <v>618</v>
      </c>
      <c r="H25" s="1034"/>
      <c r="I25" s="1031"/>
      <c r="J25" s="1289"/>
      <c r="K25" s="588" t="e">
        <f>Buildings!I44</f>
        <v>#DIV/0!</v>
      </c>
      <c r="L25" s="1035">
        <f>MIN(1,IFERROR(K25/E25,0))</f>
        <v>0</v>
      </c>
      <c r="M25" s="1035">
        <f t="shared" si="4"/>
        <v>0</v>
      </c>
      <c r="N25" s="450">
        <f t="shared" si="5"/>
        <v>0</v>
      </c>
      <c r="O25" s="1033">
        <f>'Cost Data'!L37</f>
        <v>0</v>
      </c>
      <c r="P25" s="1297">
        <f t="shared" si="2"/>
        <v>0</v>
      </c>
      <c r="Q25" s="1381" t="s">
        <v>1190</v>
      </c>
      <c r="R25" s="1382"/>
      <c r="S25" s="1383"/>
      <c r="T25" s="1213" t="str">
        <f>'Cost Data'!N37</f>
        <v>$8.61/sf for total replacement/installation for commercial building. Building Decarbonization Coalition</v>
      </c>
      <c r="U25" s="888"/>
      <c r="V25" s="888"/>
      <c r="W25" s="888"/>
      <c r="X25" s="888"/>
      <c r="Y25" s="888"/>
      <c r="Z25" s="888"/>
      <c r="AA25" s="888"/>
      <c r="AB25" s="888"/>
      <c r="AC25" s="888"/>
      <c r="AD25" s="888"/>
      <c r="AE25" s="888"/>
      <c r="AF25" s="888"/>
      <c r="AG25" s="888"/>
      <c r="AH25" s="888"/>
      <c r="AI25" s="888"/>
      <c r="AJ25" s="888"/>
      <c r="AK25" s="888"/>
      <c r="AL25" s="888"/>
      <c r="AM25" s="888"/>
      <c r="AN25" s="888"/>
      <c r="AO25" s="888"/>
      <c r="AP25" s="888"/>
      <c r="AQ25" s="888"/>
      <c r="AR25" s="888"/>
      <c r="AS25" s="888"/>
      <c r="AT25" s="888"/>
      <c r="AU25" s="888"/>
      <c r="AV25" s="888"/>
      <c r="AW25" s="888"/>
      <c r="AX25" s="888"/>
      <c r="AY25" s="888"/>
      <c r="AZ25" s="888"/>
      <c r="BA25" s="888"/>
      <c r="BB25" s="888"/>
      <c r="BC25" s="888"/>
      <c r="BD25" s="888"/>
      <c r="BE25" s="888"/>
      <c r="BF25" s="888"/>
      <c r="BG25" s="888"/>
      <c r="BH25" s="888"/>
      <c r="BI25" s="888"/>
      <c r="BJ25" s="888"/>
      <c r="BK25" s="888"/>
      <c r="BL25" s="888"/>
      <c r="BM25" s="888"/>
      <c r="BN25" s="888"/>
      <c r="BO25" s="888"/>
    </row>
    <row r="26" spans="1:67" ht="40.15" customHeight="1" x14ac:dyDescent="0.75">
      <c r="A26" s="1410"/>
      <c r="B26" s="1404"/>
      <c r="C26" s="895" t="s">
        <v>394</v>
      </c>
      <c r="D26" s="1210" t="s">
        <v>1072</v>
      </c>
      <c r="E26" s="1208" t="e">
        <f>VLOOKUP($H$6,'Tool Reference'!$A$4:$BC$5,22,FALSE)</f>
        <v>#DIV/0!</v>
      </c>
      <c r="F26" s="1115" t="e">
        <f>VLOOKUP($H$6,'Tool Reference'!$A$4:$BC$5,23,FALSE)*'Summary PCAP Table'!AB25</f>
        <v>#DIV/0!</v>
      </c>
      <c r="G26" s="589" t="s">
        <v>618</v>
      </c>
      <c r="H26" s="1034"/>
      <c r="I26" s="1031"/>
      <c r="J26" s="1289"/>
      <c r="K26" s="588" t="e">
        <f>MIN(Buildings!I28,E26*0.15)</f>
        <v>#DIV/0!</v>
      </c>
      <c r="L26" s="1035">
        <f t="shared" si="6"/>
        <v>0</v>
      </c>
      <c r="M26" s="1035">
        <f t="shared" si="4"/>
        <v>0</v>
      </c>
      <c r="N26" s="450">
        <f t="shared" si="5"/>
        <v>0</v>
      </c>
      <c r="O26" s="1033">
        <f>'Cost Data'!L35</f>
        <v>0</v>
      </c>
      <c r="P26" s="1297">
        <f t="shared" si="2"/>
        <v>0</v>
      </c>
      <c r="Q26" s="1381" t="s">
        <v>652</v>
      </c>
      <c r="R26" s="1382"/>
      <c r="S26" s="1383"/>
      <c r="T26" s="1213" t="str">
        <f>'Cost Data'!N35</f>
        <v>Assumes a cost of $1.05/SF for standard LED lighting upgrades applied to a 5,000 square foot commercial building to estimate cost per building. EPA Rule of Thumb Efficiency Estimates (2016)</v>
      </c>
      <c r="U26" s="426"/>
      <c r="V26" s="426"/>
      <c r="W26" s="426"/>
      <c r="X26" s="426"/>
      <c r="AW26" s="426"/>
      <c r="AX26" s="426"/>
      <c r="AY26" s="426"/>
      <c r="AZ26" s="426"/>
      <c r="BA26" s="426"/>
      <c r="BB26" s="426"/>
      <c r="BC26" s="426"/>
      <c r="BD26" s="426"/>
      <c r="BE26" s="426"/>
      <c r="BF26" s="426"/>
      <c r="BG26" s="426"/>
      <c r="BH26" s="426"/>
      <c r="BI26" s="426"/>
      <c r="BJ26" s="426"/>
      <c r="BK26" s="426"/>
      <c r="BL26" s="426"/>
      <c r="BM26" s="426"/>
      <c r="BN26" s="426"/>
      <c r="BO26" s="426"/>
    </row>
    <row r="27" spans="1:67" ht="40.15" customHeight="1" x14ac:dyDescent="0.75">
      <c r="A27" s="1410"/>
      <c r="B27" s="1413"/>
      <c r="C27" s="1043" t="s">
        <v>1236</v>
      </c>
      <c r="D27" s="1210" t="s">
        <v>1280</v>
      </c>
      <c r="E27" s="1208" t="e">
        <f>VLOOKUP($H$6,'Tool Reference'!$A$4:$BC$5,32,FALSE)</f>
        <v>#DIV/0!</v>
      </c>
      <c r="F27" s="1115" t="e">
        <f>VLOOKUP($H$6,'Tool Reference'!$A$4:$BC$5,33,FALSE)*'Summary PCAP Table'!W26</f>
        <v>#DIV/0!</v>
      </c>
      <c r="G27" s="589" t="s">
        <v>618</v>
      </c>
      <c r="H27" s="1034"/>
      <c r="I27" s="1031"/>
      <c r="J27" s="1289"/>
      <c r="K27" s="588" t="e">
        <f>MIN(Buildings!J32,E27*'Summary PCAP Table'!$W$26)</f>
        <v>#DIV/0!</v>
      </c>
      <c r="L27" s="1035">
        <f t="shared" si="6"/>
        <v>0</v>
      </c>
      <c r="M27" s="1035">
        <f t="shared" si="4"/>
        <v>0</v>
      </c>
      <c r="N27" s="450">
        <f t="shared" si="5"/>
        <v>0</v>
      </c>
      <c r="O27" s="1033">
        <f>'Cost Data'!L36</f>
        <v>0</v>
      </c>
      <c r="P27" s="1297">
        <f t="shared" si="2"/>
        <v>0</v>
      </c>
      <c r="Q27" s="1381" t="s">
        <v>1015</v>
      </c>
      <c r="R27" s="1382"/>
      <c r="S27" s="1383"/>
      <c r="T27" s="1213" t="str">
        <f>'Cost Data'!N36</f>
        <v>Assumes $1,000/thermostat based on ERS Independent Consultant Study</v>
      </c>
      <c r="U27" s="426"/>
      <c r="V27" s="426"/>
      <c r="W27" s="426"/>
      <c r="X27" s="426"/>
      <c r="AW27" s="426"/>
      <c r="AX27" s="426"/>
      <c r="AY27" s="426"/>
      <c r="AZ27" s="426"/>
      <c r="BA27" s="426"/>
      <c r="BB27" s="426"/>
      <c r="BC27" s="426"/>
      <c r="BD27" s="426"/>
      <c r="BE27" s="426"/>
      <c r="BF27" s="426"/>
      <c r="BG27" s="426"/>
      <c r="BH27" s="426"/>
      <c r="BI27" s="426"/>
      <c r="BJ27" s="426"/>
      <c r="BK27" s="426"/>
      <c r="BL27" s="426"/>
      <c r="BM27" s="426"/>
      <c r="BN27" s="426"/>
      <c r="BO27" s="426"/>
    </row>
    <row r="28" spans="1:67" ht="64.5" customHeight="1" thickBot="1" x14ac:dyDescent="0.9">
      <c r="A28" s="1411"/>
      <c r="B28" s="704" t="s">
        <v>405</v>
      </c>
      <c r="C28" s="594" t="s">
        <v>415</v>
      </c>
      <c r="D28" s="1217" t="s">
        <v>981</v>
      </c>
      <c r="E28" s="1253" t="e">
        <f>VLOOKUP($H$6,'Tool Reference'!$A$4:$BC$5,36,FALSE)</f>
        <v>#DIV/0!</v>
      </c>
      <c r="F28" s="1218" t="e">
        <f>VLOOKUP($H$6,'Tool Reference'!$A$4:$BC$5,37,FALSE)*'Summary PCAP Table'!W27</f>
        <v>#DIV/0!</v>
      </c>
      <c r="G28" s="1276" t="s">
        <v>1019</v>
      </c>
      <c r="H28" s="1369"/>
      <c r="I28" s="387" t="s">
        <v>1020</v>
      </c>
      <c r="J28" s="692"/>
      <c r="K28" s="770" t="e">
        <f>MIN(Buildings!I17,E28*'Summary PCAP Table'!W27)</f>
        <v>#DIV/0!</v>
      </c>
      <c r="L28" s="1261">
        <f t="shared" si="6"/>
        <v>0</v>
      </c>
      <c r="M28" s="454">
        <f t="shared" si="4"/>
        <v>0</v>
      </c>
      <c r="N28" s="450">
        <f t="shared" si="5"/>
        <v>0</v>
      </c>
      <c r="O28" s="884"/>
      <c r="P28" s="884"/>
      <c r="Q28" s="1424" t="s">
        <v>659</v>
      </c>
      <c r="R28" s="1425"/>
      <c r="S28" s="1426"/>
      <c r="T28" s="1214" t="str">
        <f>'Cost Data'!N39</f>
        <v>Cost estimates not provided, as this measure describes a policy or program that is very dependent on specific project details, priorities, and strategies implemented in different ways by each Tribe.</v>
      </c>
      <c r="U28" s="426"/>
      <c r="V28" s="426"/>
      <c r="W28" s="426"/>
      <c r="X28" s="426"/>
      <c r="AW28" s="426"/>
      <c r="AX28" s="426"/>
      <c r="AY28" s="426"/>
      <c r="AZ28" s="426"/>
      <c r="BA28" s="426"/>
      <c r="BB28" s="426"/>
      <c r="BC28" s="426"/>
      <c r="BD28" s="426"/>
      <c r="BE28" s="426"/>
      <c r="BF28" s="426"/>
      <c r="BG28" s="426"/>
      <c r="BH28" s="426"/>
      <c r="BI28" s="426"/>
      <c r="BJ28" s="426"/>
      <c r="BK28" s="426"/>
      <c r="BL28" s="426"/>
      <c r="BM28" s="426"/>
      <c r="BN28" s="426"/>
      <c r="BO28" s="426"/>
    </row>
    <row r="29" spans="1:67" s="481" customFormat="1" ht="54.75" customHeight="1" thickBot="1" x14ac:dyDescent="0.9">
      <c r="A29" s="1407" t="s">
        <v>6</v>
      </c>
      <c r="B29" s="592" t="s">
        <v>939</v>
      </c>
      <c r="C29" s="378" t="s">
        <v>613</v>
      </c>
      <c r="D29" s="1209" t="s">
        <v>1081</v>
      </c>
      <c r="E29" s="1219">
        <f>VLOOKUP($H$6,'Tool Reference'!$A$4:$BC$5,40,FALSE)</f>
        <v>0</v>
      </c>
      <c r="F29" s="1365" t="e">
        <f>VLOOKUP($H$6,'Tool Reference'!$A$4:$BC$5,41,FALSE)</f>
        <v>#DIV/0!</v>
      </c>
      <c r="G29" s="382" t="s">
        <v>1001</v>
      </c>
      <c r="H29" s="1370"/>
      <c r="I29" s="383"/>
      <c r="J29" s="1290"/>
      <c r="K29" s="448">
        <f>MIN(Transportation!$K$10,E29)</f>
        <v>0</v>
      </c>
      <c r="L29" s="453">
        <f t="shared" si="6"/>
        <v>0</v>
      </c>
      <c r="M29" s="453">
        <f t="shared" ref="M29:M38" si="7">IFERROR(K29/$E$3,0)</f>
        <v>0</v>
      </c>
      <c r="N29" s="453">
        <f t="shared" si="3"/>
        <v>0</v>
      </c>
      <c r="O29" s="870">
        <f>'Cost Data'!L41</f>
        <v>0</v>
      </c>
      <c r="P29" s="1262">
        <f t="shared" si="2"/>
        <v>0</v>
      </c>
      <c r="Q29" s="1390" t="s">
        <v>661</v>
      </c>
      <c r="R29" s="1391"/>
      <c r="S29" s="1392"/>
      <c r="T29" s="1212" t="str">
        <f>'Cost Data'!N41</f>
        <v>Inclusive of average Level 1 charger equipment and installation cost of $2,400.  Assumes 1 EV per person, and assumes 10 Evs are served by 1 public charger. DOE, Costs Associated With Non-Residential Electric Vehicle Supply Equipment, 2015</v>
      </c>
      <c r="U29" s="426"/>
      <c r="V29" s="426"/>
      <c r="W29" s="426"/>
      <c r="X29" s="426"/>
      <c r="Y29" s="426"/>
      <c r="Z29" s="426"/>
      <c r="AA29" s="426"/>
      <c r="AB29" s="426"/>
      <c r="AC29" s="426"/>
      <c r="AD29" s="426"/>
      <c r="AE29" s="426"/>
      <c r="AF29" s="426"/>
      <c r="AG29" s="426"/>
      <c r="AH29" s="426"/>
      <c r="AI29" s="426"/>
      <c r="AJ29" s="426"/>
      <c r="AK29" s="426"/>
      <c r="AL29" s="426"/>
      <c r="AM29" s="426"/>
      <c r="AN29" s="426"/>
      <c r="AO29" s="426"/>
      <c r="AP29" s="426"/>
      <c r="AQ29" s="426"/>
      <c r="AR29" s="426"/>
      <c r="AS29" s="426"/>
      <c r="AT29" s="426"/>
      <c r="AU29" s="426"/>
      <c r="AV29" s="426"/>
      <c r="AW29" s="426"/>
      <c r="AX29" s="426"/>
      <c r="AY29" s="426"/>
      <c r="AZ29" s="426"/>
      <c r="BA29" s="426"/>
      <c r="BB29" s="426"/>
      <c r="BC29" s="426"/>
      <c r="BD29" s="426"/>
      <c r="BE29" s="426"/>
      <c r="BF29" s="426"/>
      <c r="BG29" s="426"/>
      <c r="BH29" s="426"/>
      <c r="BI29" s="426"/>
      <c r="BJ29" s="426"/>
      <c r="BK29" s="426"/>
      <c r="BL29" s="426"/>
      <c r="BM29" s="426"/>
      <c r="BN29" s="426"/>
      <c r="BO29" s="426"/>
    </row>
    <row r="30" spans="1:67" ht="58.5" customHeight="1" thickBot="1" x14ac:dyDescent="0.9">
      <c r="A30" s="1407"/>
      <c r="B30" s="1404" t="s">
        <v>1007</v>
      </c>
      <c r="C30" s="378" t="s">
        <v>1004</v>
      </c>
      <c r="D30" s="1025" t="s">
        <v>1082</v>
      </c>
      <c r="E30" s="894">
        <f>VLOOKUP($H$6,'Tool Reference'!$A$4:$BC$5,38,FALSE)</f>
        <v>0</v>
      </c>
      <c r="F30" s="1366" t="e">
        <f>VLOOKUP($H$6,'Tool Reference'!$A$4:$BC$5,39,FALSE)</f>
        <v>#DIV/0!</v>
      </c>
      <c r="G30" s="390" t="s">
        <v>982</v>
      </c>
      <c r="H30" s="1371"/>
      <c r="I30" s="1368" t="s">
        <v>1339</v>
      </c>
      <c r="J30" s="395"/>
      <c r="K30" s="443">
        <f>MIN(Transportation!K5,E30)</f>
        <v>0</v>
      </c>
      <c r="L30" s="450">
        <f>MIN(1,IFERROR(K30/E30,0))</f>
        <v>0</v>
      </c>
      <c r="M30" s="453">
        <f t="shared" si="7"/>
        <v>0</v>
      </c>
      <c r="N30" s="450">
        <f>IFERROR(L30*F30,0)</f>
        <v>0</v>
      </c>
      <c r="O30" s="869">
        <f>'Cost Data'!L40</f>
        <v>0</v>
      </c>
      <c r="P30" s="1263">
        <f t="shared" si="2"/>
        <v>0</v>
      </c>
      <c r="Q30" s="1381" t="s">
        <v>1006</v>
      </c>
      <c r="R30" s="1382"/>
      <c r="S30" s="1386"/>
      <c r="T30" s="1213" t="str">
        <f>'Cost Data'!N40</f>
        <v>Electric Bus pricing of $175,000 assumes School Bus (Type A-B), Hydrogen fuel cell bus pricing of $1,200,000 assumes Transit Bus. Electric bus charger price of $70,000 assumes 1 charger/7 buses with plug-in slow charger. Transit Vehicle Electrification Best Practices. Maine DOT</v>
      </c>
      <c r="U30" s="426"/>
      <c r="V30" s="426"/>
      <c r="W30" s="426"/>
      <c r="X30" s="426"/>
      <c r="AW30" s="426"/>
      <c r="AX30" s="426"/>
      <c r="AY30" s="426"/>
      <c r="AZ30" s="426"/>
      <c r="BA30" s="426"/>
      <c r="BB30" s="426"/>
      <c r="BC30" s="426"/>
      <c r="BD30" s="426"/>
      <c r="BE30" s="426"/>
      <c r="BF30" s="426"/>
      <c r="BG30" s="426"/>
      <c r="BH30" s="426"/>
      <c r="BI30" s="426"/>
      <c r="BJ30" s="426"/>
      <c r="BK30" s="426"/>
      <c r="BL30" s="426"/>
      <c r="BM30" s="426"/>
      <c r="BN30" s="426"/>
      <c r="BO30" s="426"/>
    </row>
    <row r="31" spans="1:67" ht="40.15" customHeight="1" thickBot="1" x14ac:dyDescent="0.9">
      <c r="A31" s="1407"/>
      <c r="B31" s="1406"/>
      <c r="C31" s="435" t="s">
        <v>1005</v>
      </c>
      <c r="D31" s="1025" t="s">
        <v>1082</v>
      </c>
      <c r="E31" s="894">
        <f>VLOOKUP($H$6,'Tool Reference'!$A$4:$BC$5,38,FALSE)</f>
        <v>0</v>
      </c>
      <c r="F31" s="1366" t="e">
        <f>VLOOKUP($H$6,'Tool Reference'!$A$4:$BC$5,39,FALSE)</f>
        <v>#DIV/0!</v>
      </c>
      <c r="G31" s="390" t="s">
        <v>982</v>
      </c>
      <c r="H31" s="1371"/>
      <c r="I31" s="1368" t="s">
        <v>1340</v>
      </c>
      <c r="J31" s="395"/>
      <c r="K31" s="588">
        <f>MIN(Transportation!H40,E31)</f>
        <v>0</v>
      </c>
      <c r="L31" s="450">
        <f>MIN(1,IFERROR(K31/E31,0))</f>
        <v>0</v>
      </c>
      <c r="M31" s="453">
        <f t="shared" si="7"/>
        <v>0</v>
      </c>
      <c r="N31" s="450">
        <f>IFERROR(L31*F31,0)</f>
        <v>0</v>
      </c>
      <c r="O31" s="869">
        <f>'Cost Data'!L42</f>
        <v>0</v>
      </c>
      <c r="P31" s="1263">
        <f t="shared" si="2"/>
        <v>0</v>
      </c>
      <c r="Q31" s="1381" t="s">
        <v>1344</v>
      </c>
      <c r="R31" s="1382"/>
      <c r="S31" s="1386"/>
      <c r="T31" s="1213" t="str">
        <f>'Cost Data'!N42</f>
        <v>Natural Gas pricing ($125,000) assumes School Bus (Type A-B), Propane pricing ($105,000) assumes School Bus (Type C-D), Biodiesel bus pricing ($91,250) assumes school bus. The State of Sustainable Fleets, 2022 - GNA</v>
      </c>
      <c r="U31" s="426"/>
      <c r="V31" s="426"/>
      <c r="W31" s="426"/>
      <c r="X31" s="426"/>
      <c r="AW31" s="426"/>
      <c r="AX31" s="426"/>
      <c r="AY31" s="426"/>
      <c r="AZ31" s="426"/>
      <c r="BA31" s="426"/>
      <c r="BB31" s="426"/>
      <c r="BC31" s="426"/>
      <c r="BD31" s="426"/>
      <c r="BE31" s="426"/>
      <c r="BF31" s="426"/>
      <c r="BG31" s="426"/>
      <c r="BH31" s="426"/>
      <c r="BI31" s="426"/>
      <c r="BJ31" s="426"/>
      <c r="BK31" s="426"/>
      <c r="BL31" s="426"/>
      <c r="BM31" s="426"/>
      <c r="BN31" s="426"/>
      <c r="BO31" s="426"/>
    </row>
    <row r="32" spans="1:67" ht="40.15" customHeight="1" thickBot="1" x14ac:dyDescent="0.9">
      <c r="A32" s="1407"/>
      <c r="B32" s="1403" t="s">
        <v>359</v>
      </c>
      <c r="C32" s="435" t="s">
        <v>361</v>
      </c>
      <c r="D32" s="1430" t="s">
        <v>1081</v>
      </c>
      <c r="E32" s="894">
        <f>VLOOKUP($H$6,'Tool Reference'!$A$4:$BC$5,40,FALSE)</f>
        <v>0</v>
      </c>
      <c r="F32" s="1366" t="e">
        <f>VLOOKUP($H$6,'Tool Reference'!$A$4:$BC$5,41,FALSE)</f>
        <v>#DIV/0!</v>
      </c>
      <c r="G32" s="390" t="s">
        <v>1010</v>
      </c>
      <c r="H32" s="1371"/>
      <c r="I32" s="384"/>
      <c r="J32" s="968"/>
      <c r="K32" s="443">
        <f>MIN(Transportation!$E$15,E32)</f>
        <v>0</v>
      </c>
      <c r="L32" s="450">
        <f t="shared" si="6"/>
        <v>0</v>
      </c>
      <c r="M32" s="453">
        <f t="shared" si="7"/>
        <v>0</v>
      </c>
      <c r="N32" s="450">
        <f t="shared" si="3"/>
        <v>0</v>
      </c>
      <c r="O32" s="884"/>
      <c r="P32" s="884"/>
      <c r="Q32" s="1381" t="s">
        <v>1243</v>
      </c>
      <c r="R32" s="1382"/>
      <c r="S32" s="1386"/>
      <c r="T32" s="1213" t="str">
        <f>'Cost Data'!N43</f>
        <v>Cost estimates not provided, as this measure describes a policy or program that is very dependent on specific project details, priorities, and strategies implemented in different ways by each Tribe.</v>
      </c>
    </row>
    <row r="33" spans="1:20" ht="40.15" customHeight="1" thickBot="1" x14ac:dyDescent="0.9">
      <c r="A33" s="1407"/>
      <c r="B33" s="1404"/>
      <c r="C33" s="435" t="s">
        <v>362</v>
      </c>
      <c r="D33" s="1430"/>
      <c r="E33" s="894">
        <f>VLOOKUP($H$6,'Tool Reference'!$A$4:$BC$5,40,FALSE)</f>
        <v>0</v>
      </c>
      <c r="F33" s="1366" t="e">
        <f>VLOOKUP($H$6,'Tool Reference'!$A$4:$BC$5,41,FALSE)</f>
        <v>#DIV/0!</v>
      </c>
      <c r="G33" s="390" t="s">
        <v>1011</v>
      </c>
      <c r="H33" s="1371"/>
      <c r="I33" s="384"/>
      <c r="J33" s="968"/>
      <c r="K33" s="443">
        <f>MIN(Transportation!$E$20,E33)</f>
        <v>0</v>
      </c>
      <c r="L33" s="450">
        <f t="shared" si="6"/>
        <v>0</v>
      </c>
      <c r="M33" s="453">
        <f t="shared" si="7"/>
        <v>0</v>
      </c>
      <c r="N33" s="450">
        <f t="shared" si="3"/>
        <v>0</v>
      </c>
      <c r="O33" s="884"/>
      <c r="P33" s="884"/>
      <c r="Q33" s="1381" t="s">
        <v>662</v>
      </c>
      <c r="R33" s="1382"/>
      <c r="S33" s="1386"/>
      <c r="T33" s="1213" t="str">
        <f>'Cost Data'!N44</f>
        <v>Cost estimates not provided, as this measure describes a policy or program that is very dependent on specific project details, priorities, and strategies implemented in different ways by each Tribe.</v>
      </c>
    </row>
    <row r="34" spans="1:20" ht="40.15" customHeight="1" thickBot="1" x14ac:dyDescent="0.9">
      <c r="A34" s="1408"/>
      <c r="B34" s="1405"/>
      <c r="C34" s="594" t="s">
        <v>363</v>
      </c>
      <c r="D34" s="1431"/>
      <c r="E34" s="1027">
        <f>VLOOKUP($H$6,'Tool Reference'!$A$4:$BC$5,40,FALSE)</f>
        <v>0</v>
      </c>
      <c r="F34" s="1367" t="e">
        <f>VLOOKUP($H$6,'Tool Reference'!$A$4:$BC$5,41,FALSE)</f>
        <v>#DIV/0!</v>
      </c>
      <c r="G34" s="691" t="s">
        <v>1012</v>
      </c>
      <c r="H34" s="1372"/>
      <c r="I34" s="386"/>
      <c r="J34" s="1291"/>
      <c r="K34" s="449">
        <f>MIN(Transportation!$E$25,E34)</f>
        <v>0</v>
      </c>
      <c r="L34" s="454">
        <f t="shared" si="6"/>
        <v>0</v>
      </c>
      <c r="M34" s="453">
        <f t="shared" si="7"/>
        <v>0</v>
      </c>
      <c r="N34" s="454">
        <f t="shared" si="3"/>
        <v>0</v>
      </c>
      <c r="O34" s="884"/>
      <c r="P34" s="884"/>
      <c r="Q34" s="1375" t="s">
        <v>663</v>
      </c>
      <c r="R34" s="1376"/>
      <c r="S34" s="1377"/>
      <c r="T34" s="1271" t="str">
        <f>'Cost Data'!N45</f>
        <v>Cost estimates not provided, as this measure describes a policy or program that is very dependent on specific project details, priorities, and strategies implemented in different ways by each Tribe.</v>
      </c>
    </row>
    <row r="35" spans="1:20" ht="44.15" customHeight="1" thickBot="1" x14ac:dyDescent="0.9">
      <c r="A35" s="1416" t="s">
        <v>18</v>
      </c>
      <c r="B35" s="1400" t="s">
        <v>1008</v>
      </c>
      <c r="C35" s="508" t="s">
        <v>676</v>
      </c>
      <c r="D35" s="1209" t="s">
        <v>1083</v>
      </c>
      <c r="E35" s="1219" t="e">
        <f>VLOOKUP($H$6,'Tool Reference'!$A$4:$BC$5,6,FALSE)</f>
        <v>#DIV/0!</v>
      </c>
      <c r="F35" s="1220" t="e">
        <f>VLOOKUP($H$6,'Tool Reference'!$A$4:$BC$5,7,FALSE)</f>
        <v>#DIV/0!</v>
      </c>
      <c r="G35" s="385" t="s">
        <v>1013</v>
      </c>
      <c r="H35" s="728"/>
      <c r="I35" s="1277"/>
      <c r="J35" s="1292"/>
      <c r="K35" s="1111">
        <f>'Land Use'!D5</f>
        <v>0</v>
      </c>
      <c r="L35" s="453">
        <f t="shared" si="6"/>
        <v>0</v>
      </c>
      <c r="M35" s="453">
        <f t="shared" si="7"/>
        <v>0</v>
      </c>
      <c r="N35" s="1298">
        <f t="shared" si="3"/>
        <v>0</v>
      </c>
      <c r="O35" s="1301">
        <f>'Cost Data'!L46</f>
        <v>0</v>
      </c>
      <c r="P35" s="1262">
        <f t="shared" ref="P35:P37" si="8">IFERROR(O35/K35,0)</f>
        <v>0</v>
      </c>
      <c r="Q35" s="1378" t="s">
        <v>781</v>
      </c>
      <c r="R35" s="1379"/>
      <c r="S35" s="1423"/>
      <c r="T35" s="1326" t="str">
        <f>'Cost Data'!N46</f>
        <v xml:space="preserve">$300 assumed as national average cost of planting a medium sized tree (including both cost of the tree itself and labor). A medium tree is 5-9 ft tall. </v>
      </c>
    </row>
    <row r="36" spans="1:20" ht="44.15" customHeight="1" thickBot="1" x14ac:dyDescent="0.9">
      <c r="A36" s="1418"/>
      <c r="B36" s="1401"/>
      <c r="C36" s="378" t="s">
        <v>1009</v>
      </c>
      <c r="D36" s="1025" t="s">
        <v>1083</v>
      </c>
      <c r="E36" s="894" t="e">
        <f>VLOOKUP($H$6,'Tool Reference'!$A$4:$BC$5,6,FALSE)</f>
        <v>#DIV/0!</v>
      </c>
      <c r="F36" s="1026" t="e">
        <f>VLOOKUP($H$6,'Tool Reference'!$A$4:$BC$5,7,FALSE)</f>
        <v>#DIV/0!</v>
      </c>
      <c r="G36" s="384" t="s">
        <v>753</v>
      </c>
      <c r="H36" s="364"/>
      <c r="I36" s="761" t="s">
        <v>754</v>
      </c>
      <c r="J36" s="395"/>
      <c r="K36" s="1112">
        <f>'Land Use'!I9</f>
        <v>0</v>
      </c>
      <c r="L36" s="450">
        <f t="shared" si="6"/>
        <v>0</v>
      </c>
      <c r="M36" s="453">
        <f t="shared" si="7"/>
        <v>0</v>
      </c>
      <c r="N36" s="1299">
        <f t="shared" si="3"/>
        <v>0</v>
      </c>
      <c r="O36" s="1302">
        <f>'Cost Data'!L47</f>
        <v>0</v>
      </c>
      <c r="P36" s="1263">
        <f t="shared" si="8"/>
        <v>0</v>
      </c>
      <c r="Q36" s="1429" t="s">
        <v>782</v>
      </c>
      <c r="R36" s="1382"/>
      <c r="S36" s="1386"/>
      <c r="T36" s="1327" t="str">
        <f>'Cost Data'!N47</f>
        <v xml:space="preserve">$0.5/sf used as the national average cost of planting sod per area and $25/ shrub. </v>
      </c>
    </row>
    <row r="37" spans="1:20" ht="44.15" customHeight="1" thickBot="1" x14ac:dyDescent="0.9">
      <c r="A37" s="1418"/>
      <c r="B37" s="1401"/>
      <c r="C37" s="435" t="s">
        <v>790</v>
      </c>
      <c r="D37" s="1025" t="s">
        <v>1083</v>
      </c>
      <c r="E37" s="894" t="e">
        <f>VLOOKUP($H$6,'Tool Reference'!$A$4:$BC$5,6,FALSE)</f>
        <v>#DIV/0!</v>
      </c>
      <c r="F37" s="1026" t="e">
        <f>VLOOKUP($H$6,'Tool Reference'!$A$4:$BC$5,7,FALSE)</f>
        <v>#DIV/0!</v>
      </c>
      <c r="G37" s="384" t="s">
        <v>783</v>
      </c>
      <c r="H37" s="364"/>
      <c r="I37" s="762"/>
      <c r="J37" s="968"/>
      <c r="K37" s="1112">
        <f>'Land Use'!G13</f>
        <v>0</v>
      </c>
      <c r="L37" s="450">
        <f t="shared" si="6"/>
        <v>0</v>
      </c>
      <c r="M37" s="453">
        <f t="shared" si="7"/>
        <v>0</v>
      </c>
      <c r="N37" s="1299">
        <f>IFERROR(L37*F37,0)</f>
        <v>0</v>
      </c>
      <c r="O37" s="1302">
        <f>'Cost Data'!L48</f>
        <v>0</v>
      </c>
      <c r="P37" s="1263">
        <f t="shared" si="8"/>
        <v>0</v>
      </c>
      <c r="Q37" s="1429" t="s">
        <v>774</v>
      </c>
      <c r="R37" s="1382"/>
      <c r="S37" s="1386"/>
      <c r="T37" s="1327" t="str">
        <f>'Cost Data'!N48</f>
        <v xml:space="preserve">The national average cost of planting sod per area was used for this calculation. $0.5/sf </v>
      </c>
    </row>
    <row r="38" spans="1:20" ht="44.15" customHeight="1" thickBot="1" x14ac:dyDescent="0.9">
      <c r="A38" s="1419"/>
      <c r="B38" s="1402"/>
      <c r="C38" s="1267" t="s">
        <v>795</v>
      </c>
      <c r="D38" s="1211" t="s">
        <v>1081</v>
      </c>
      <c r="E38" s="1027">
        <f>VLOOKUP($H$6,'Tool Reference'!$A$4:$BC$5,40,FALSE)</f>
        <v>0</v>
      </c>
      <c r="F38" s="1028" t="e">
        <f>VLOOKUP($H$6,'Tool Reference'!$A$4:$BC$5,41,FALSE)</f>
        <v>#DIV/0!</v>
      </c>
      <c r="G38" s="386" t="s">
        <v>1014</v>
      </c>
      <c r="H38" s="1268"/>
      <c r="I38" s="1269"/>
      <c r="J38" s="1291"/>
      <c r="K38" s="1270">
        <f>MIN('Land Use'!C18,E38)</f>
        <v>0</v>
      </c>
      <c r="L38" s="452">
        <f t="shared" si="6"/>
        <v>0</v>
      </c>
      <c r="M38" s="1264">
        <f t="shared" si="7"/>
        <v>0</v>
      </c>
      <c r="N38" s="1300">
        <f t="shared" si="3"/>
        <v>0</v>
      </c>
      <c r="O38" s="1303"/>
      <c r="P38" s="1304"/>
      <c r="Q38" s="1427" t="s">
        <v>811</v>
      </c>
      <c r="R38" s="1425"/>
      <c r="S38" s="1428"/>
      <c r="T38" s="1328" t="str">
        <f>'Cost Data'!N49</f>
        <v>Cost estimates not provided, as this measure describes a policy or program that is very dependent on specific project details, priorities, and strategies implemented in different ways by each Tribe.</v>
      </c>
    </row>
    <row r="39" spans="1:20" ht="14.75" x14ac:dyDescent="0.75">
      <c r="A39" s="442"/>
      <c r="B39" s="442"/>
      <c r="C39" s="442"/>
      <c r="F39" s="442"/>
      <c r="G39" s="442"/>
      <c r="H39" s="442"/>
      <c r="I39" s="442"/>
      <c r="J39" s="442"/>
      <c r="K39" s="442"/>
      <c r="L39" s="442"/>
      <c r="M39" s="442"/>
      <c r="N39" s="442"/>
      <c r="O39" s="442"/>
      <c r="P39" s="442"/>
      <c r="Q39" s="442"/>
      <c r="R39" s="442"/>
      <c r="S39" s="442"/>
    </row>
    <row r="40" spans="1:20" ht="15.5" hidden="1" thickBot="1" x14ac:dyDescent="0.9">
      <c r="A40" s="442"/>
      <c r="B40" s="442"/>
      <c r="C40" s="442"/>
      <c r="D40" s="650"/>
      <c r="E40" s="442"/>
      <c r="F40" s="442"/>
      <c r="G40" s="442"/>
      <c r="H40" s="442"/>
      <c r="I40" s="442"/>
      <c r="J40" s="442"/>
      <c r="K40" s="442"/>
      <c r="L40" s="442"/>
      <c r="M40" s="442"/>
      <c r="N40" s="442"/>
      <c r="O40" s="442"/>
      <c r="P40" s="442"/>
      <c r="Q40" s="442"/>
      <c r="R40" s="442"/>
      <c r="S40" s="442"/>
    </row>
    <row r="41" spans="1:20" ht="44.15" hidden="1" customHeight="1" thickBot="1" x14ac:dyDescent="0.9">
      <c r="A41" s="1266"/>
      <c r="B41" s="365" t="s">
        <v>417</v>
      </c>
      <c r="C41" s="436" t="s">
        <v>418</v>
      </c>
      <c r="D41" s="1211" t="s">
        <v>85</v>
      </c>
      <c r="E41" s="1027">
        <f>VLOOKUP($H$6,'Tool Reference'!$A$4:$BC$5,54,FALSE)</f>
        <v>0</v>
      </c>
      <c r="F41" s="1028" t="e">
        <f>VLOOKUP($H$6,'Tool Reference'!$A$4:$BC$5,55,FALSE)</f>
        <v>#DIV/0!</v>
      </c>
      <c r="G41" s="386" t="s">
        <v>665</v>
      </c>
      <c r="H41" s="760"/>
      <c r="I41" s="691" t="s">
        <v>1143</v>
      </c>
      <c r="J41" s="692"/>
      <c r="K41" s="1113">
        <f>MIN(IFERROR(Buildings!I52,0),E41)</f>
        <v>0</v>
      </c>
      <c r="L41" s="452">
        <f>MIN(1,IFERROR(K41/E41,0))</f>
        <v>0</v>
      </c>
      <c r="M41" s="1264">
        <f>IFERROR(K41/$E$3,0)</f>
        <v>0</v>
      </c>
      <c r="N41" s="452">
        <f>IFERROR(L41*F41,0)</f>
        <v>0</v>
      </c>
      <c r="O41" s="1265">
        <f>'Cost Data'!L50</f>
        <v>0</v>
      </c>
      <c r="P41" s="1293"/>
      <c r="Q41" s="1424" t="s">
        <v>666</v>
      </c>
      <c r="R41" s="1425"/>
      <c r="S41" s="1428"/>
      <c r="T41" s="1212" t="str">
        <f>'Cost Data'!N50</f>
        <v xml:space="preserve">$343/toilet. Represents wholesale cost of one pressure-assist toilet fixture and labor costs for a 1-hour installation. PNNL - Update of Market Assessment for Capturing Water Conservation Opportunities in the Federal Sector </v>
      </c>
    </row>
    <row r="42" spans="1:20" ht="14.75" x14ac:dyDescent="0.75">
      <c r="A42" s="442"/>
      <c r="B42" s="442"/>
      <c r="C42" s="442"/>
      <c r="D42" s="650"/>
      <c r="F42" s="442"/>
      <c r="G42" s="442"/>
      <c r="H42" s="442"/>
      <c r="I42" s="442"/>
      <c r="J42" s="442"/>
      <c r="K42" s="442"/>
      <c r="L42" s="442"/>
      <c r="M42" s="442"/>
      <c r="N42" s="442"/>
      <c r="O42" s="442"/>
      <c r="P42" s="442"/>
      <c r="Q42" s="442"/>
      <c r="R42" s="442"/>
      <c r="S42" s="442"/>
    </row>
    <row r="43" spans="1:20" ht="14.75" x14ac:dyDescent="0.75">
      <c r="A43" s="442"/>
      <c r="B43" s="442"/>
      <c r="C43" s="442"/>
      <c r="F43" s="442"/>
      <c r="G43" s="442"/>
      <c r="H43" s="442"/>
      <c r="I43" s="442"/>
      <c r="J43" s="442"/>
      <c r="K43" s="442"/>
      <c r="L43" s="442"/>
      <c r="M43" s="442"/>
      <c r="N43" s="442"/>
      <c r="O43" s="442"/>
      <c r="P43" s="442"/>
      <c r="Q43" s="442"/>
      <c r="R43" s="442"/>
      <c r="S43" s="442"/>
    </row>
    <row r="44" spans="1:20" ht="14.75" x14ac:dyDescent="0.75">
      <c r="A44" s="442"/>
      <c r="B44" s="442"/>
      <c r="C44" s="442"/>
      <c r="D44" s="650"/>
      <c r="E44" s="442"/>
      <c r="F44" s="442"/>
      <c r="G44" s="442"/>
      <c r="H44" s="442"/>
      <c r="I44" s="442"/>
      <c r="J44" s="442"/>
      <c r="K44" s="442"/>
      <c r="L44" s="442"/>
      <c r="M44" s="442"/>
      <c r="N44" s="442"/>
      <c r="O44" s="442"/>
      <c r="P44" s="442"/>
      <c r="Q44" s="442"/>
      <c r="R44" s="442"/>
      <c r="S44" s="442"/>
    </row>
    <row r="45" spans="1:20" ht="14.75" x14ac:dyDescent="0.75">
      <c r="A45" s="442"/>
      <c r="B45" s="442"/>
      <c r="C45" s="442"/>
      <c r="D45" s="650"/>
      <c r="E45" s="442"/>
      <c r="F45" s="442"/>
      <c r="G45" s="442"/>
      <c r="H45" s="442"/>
      <c r="I45" s="442"/>
      <c r="J45" s="442"/>
      <c r="K45" s="442"/>
      <c r="L45" s="442"/>
      <c r="M45" s="442"/>
      <c r="N45" s="442"/>
      <c r="O45" s="442"/>
      <c r="P45" s="442"/>
      <c r="Q45" s="442"/>
      <c r="R45" s="442"/>
      <c r="S45" s="442"/>
    </row>
    <row r="46" spans="1:20" ht="14.75" x14ac:dyDescent="0.75">
      <c r="A46" s="442"/>
      <c r="B46" s="442"/>
      <c r="C46" s="442"/>
      <c r="D46" s="650"/>
      <c r="E46" s="442"/>
      <c r="F46" s="442"/>
      <c r="G46" s="442"/>
      <c r="H46" s="442"/>
      <c r="I46" s="442"/>
      <c r="J46" s="442"/>
      <c r="K46" s="442"/>
      <c r="L46" s="442"/>
      <c r="M46" s="442"/>
      <c r="N46" s="442"/>
      <c r="O46" s="442"/>
      <c r="P46" s="442"/>
      <c r="Q46" s="442"/>
      <c r="R46" s="442"/>
      <c r="S46" s="442"/>
    </row>
    <row r="47" spans="1:20" ht="14.75" x14ac:dyDescent="0.75">
      <c r="A47" s="442"/>
      <c r="B47" s="442"/>
      <c r="C47" s="442"/>
      <c r="D47" s="650"/>
      <c r="E47" s="442"/>
      <c r="F47" s="442"/>
      <c r="G47" s="442"/>
      <c r="H47" s="442"/>
      <c r="I47" s="442"/>
      <c r="J47" s="442"/>
      <c r="K47" s="442"/>
      <c r="L47" s="442"/>
      <c r="M47" s="442"/>
      <c r="N47" s="442"/>
      <c r="O47" s="442"/>
      <c r="P47" s="442"/>
      <c r="Q47" s="442"/>
      <c r="R47" s="442"/>
      <c r="S47" s="442"/>
    </row>
    <row r="48" spans="1:20" ht="14.75" x14ac:dyDescent="0.75">
      <c r="A48" s="442"/>
      <c r="B48" s="442"/>
      <c r="C48" s="442"/>
      <c r="D48" s="650"/>
      <c r="E48" s="442"/>
      <c r="F48" s="442"/>
      <c r="G48" s="442"/>
      <c r="H48" s="442"/>
      <c r="I48" s="442"/>
      <c r="J48" s="442"/>
      <c r="K48" s="442"/>
      <c r="L48" s="442"/>
      <c r="M48" s="442"/>
      <c r="N48" s="442"/>
      <c r="O48" s="442"/>
      <c r="P48" s="442"/>
      <c r="Q48" s="442"/>
      <c r="R48" s="442"/>
      <c r="S48" s="442"/>
    </row>
    <row r="49" spans="1:19" ht="14.75" x14ac:dyDescent="0.75">
      <c r="A49" s="442"/>
      <c r="B49" s="442"/>
      <c r="C49" s="442"/>
      <c r="D49" s="650"/>
      <c r="E49" s="442"/>
      <c r="F49" s="442"/>
      <c r="G49" s="442"/>
      <c r="H49" s="442"/>
      <c r="I49" s="442"/>
      <c r="J49" s="442"/>
      <c r="K49" s="442"/>
      <c r="L49" s="442"/>
      <c r="M49" s="442"/>
      <c r="N49" s="442"/>
      <c r="O49" s="442"/>
      <c r="P49" s="442"/>
      <c r="Q49" s="442"/>
      <c r="R49" s="442"/>
      <c r="S49" s="442"/>
    </row>
    <row r="50" spans="1:19" ht="14.75" x14ac:dyDescent="0.75">
      <c r="A50" s="442"/>
      <c r="B50" s="442"/>
      <c r="C50" s="442"/>
      <c r="D50" s="650"/>
      <c r="E50" s="442"/>
      <c r="F50" s="442"/>
      <c r="G50" s="442"/>
      <c r="H50" s="442"/>
      <c r="I50" s="442"/>
      <c r="J50" s="442"/>
      <c r="K50" s="442"/>
      <c r="L50" s="442"/>
      <c r="M50" s="442"/>
      <c r="N50" s="442"/>
      <c r="O50" s="442"/>
      <c r="P50" s="442"/>
      <c r="Q50" s="442"/>
      <c r="R50" s="442"/>
      <c r="S50" s="442"/>
    </row>
    <row r="51" spans="1:19" ht="14.75" x14ac:dyDescent="0.75">
      <c r="A51" s="442"/>
      <c r="B51" s="442"/>
      <c r="C51" s="442"/>
      <c r="D51" s="650"/>
      <c r="E51" s="442"/>
      <c r="F51" s="442"/>
      <c r="G51" s="442"/>
      <c r="H51" s="442"/>
      <c r="I51" s="442"/>
      <c r="J51" s="442"/>
      <c r="K51" s="442"/>
      <c r="L51" s="442"/>
      <c r="M51" s="442"/>
      <c r="N51" s="442"/>
      <c r="O51" s="442"/>
      <c r="P51" s="442"/>
      <c r="Q51" s="442"/>
      <c r="R51" s="442"/>
      <c r="S51" s="442"/>
    </row>
    <row r="52" spans="1:19" ht="14.75" x14ac:dyDescent="0.75">
      <c r="A52" s="442"/>
      <c r="B52" s="442"/>
      <c r="C52" s="442"/>
      <c r="D52" s="650"/>
      <c r="E52" s="442"/>
      <c r="F52" s="442"/>
      <c r="G52" s="442"/>
      <c r="H52" s="442"/>
      <c r="I52" s="442"/>
      <c r="J52" s="442"/>
      <c r="K52" s="442"/>
      <c r="L52" s="442"/>
      <c r="M52" s="442"/>
      <c r="N52" s="442"/>
      <c r="O52" s="442"/>
      <c r="P52" s="442"/>
      <c r="Q52" s="442"/>
      <c r="R52" s="442"/>
      <c r="S52" s="442"/>
    </row>
    <row r="53" spans="1:19" ht="14.75" x14ac:dyDescent="0.75">
      <c r="A53" s="442"/>
      <c r="B53" s="442"/>
      <c r="C53" s="442"/>
      <c r="D53" s="650"/>
      <c r="E53" s="442"/>
      <c r="F53" s="442"/>
      <c r="G53" s="442"/>
      <c r="H53" s="442"/>
      <c r="I53" s="442"/>
      <c r="J53" s="442"/>
      <c r="K53" s="442"/>
      <c r="L53" s="442"/>
      <c r="M53" s="442"/>
      <c r="N53" s="442"/>
      <c r="O53" s="442"/>
      <c r="P53" s="442"/>
      <c r="Q53" s="442"/>
      <c r="R53" s="442"/>
      <c r="S53" s="442"/>
    </row>
    <row r="54" spans="1:19" ht="14.75" x14ac:dyDescent="0.75">
      <c r="A54" s="442"/>
      <c r="B54" s="442"/>
      <c r="C54" s="442"/>
      <c r="D54" s="650"/>
      <c r="E54" s="442"/>
      <c r="F54" s="442"/>
      <c r="G54" s="442"/>
      <c r="H54" s="442"/>
      <c r="I54" s="442"/>
      <c r="J54" s="442"/>
      <c r="K54" s="442"/>
      <c r="L54" s="442"/>
      <c r="M54" s="442"/>
      <c r="N54" s="442"/>
      <c r="O54" s="442"/>
      <c r="P54" s="442"/>
      <c r="Q54" s="442"/>
      <c r="R54" s="442"/>
      <c r="S54" s="442"/>
    </row>
    <row r="55" spans="1:19" ht="14.75" x14ac:dyDescent="0.75">
      <c r="A55" s="442"/>
      <c r="B55" s="442"/>
      <c r="C55" s="442"/>
      <c r="D55" s="650"/>
      <c r="E55" s="442"/>
      <c r="F55" s="442"/>
      <c r="G55" s="442"/>
      <c r="H55" s="442"/>
      <c r="I55" s="442"/>
      <c r="J55" s="442"/>
      <c r="K55" s="442"/>
      <c r="L55" s="442"/>
      <c r="M55" s="442"/>
      <c r="N55" s="442"/>
      <c r="O55" s="442"/>
      <c r="P55" s="442"/>
      <c r="Q55" s="442"/>
      <c r="R55" s="442"/>
      <c r="S55" s="442"/>
    </row>
    <row r="56" spans="1:19" ht="14.75" x14ac:dyDescent="0.75">
      <c r="A56" s="442"/>
      <c r="B56" s="442"/>
      <c r="C56" s="442"/>
      <c r="D56" s="650"/>
      <c r="E56" s="442"/>
      <c r="F56" s="442"/>
      <c r="G56" s="442"/>
      <c r="H56" s="442"/>
      <c r="I56" s="442"/>
      <c r="J56" s="442"/>
      <c r="K56" s="442"/>
      <c r="L56" s="442"/>
      <c r="M56" s="442"/>
      <c r="N56" s="442"/>
      <c r="O56" s="442"/>
      <c r="P56" s="442"/>
      <c r="Q56" s="442"/>
      <c r="R56" s="442"/>
      <c r="S56" s="442"/>
    </row>
    <row r="57" spans="1:19" ht="14.75" x14ac:dyDescent="0.75">
      <c r="A57" s="442"/>
      <c r="B57" s="442"/>
      <c r="C57" s="442"/>
      <c r="D57" s="650"/>
      <c r="E57" s="442"/>
      <c r="F57" s="442"/>
      <c r="G57" s="442"/>
      <c r="H57" s="442"/>
      <c r="I57" s="442"/>
      <c r="J57" s="442"/>
      <c r="K57" s="442"/>
      <c r="L57" s="442"/>
      <c r="M57" s="442"/>
      <c r="N57" s="442"/>
      <c r="O57" s="442"/>
      <c r="P57" s="442"/>
      <c r="Q57" s="442"/>
      <c r="R57" s="442"/>
      <c r="S57" s="442"/>
    </row>
    <row r="58" spans="1:19" ht="14.75" x14ac:dyDescent="0.75">
      <c r="A58" s="442"/>
      <c r="B58" s="442"/>
      <c r="C58" s="442"/>
      <c r="D58" s="650"/>
      <c r="E58" s="442"/>
      <c r="F58" s="442"/>
      <c r="G58" s="442"/>
      <c r="H58" s="442"/>
      <c r="I58" s="442"/>
      <c r="J58" s="442"/>
      <c r="K58" s="442"/>
      <c r="L58" s="442"/>
      <c r="M58" s="442"/>
      <c r="N58" s="442"/>
      <c r="O58" s="442"/>
      <c r="P58" s="442"/>
      <c r="Q58" s="442"/>
      <c r="R58" s="442"/>
      <c r="S58" s="442"/>
    </row>
    <row r="59" spans="1:19" ht="14.75" x14ac:dyDescent="0.75">
      <c r="A59" s="442"/>
      <c r="B59" s="442"/>
      <c r="C59" s="442"/>
      <c r="D59" s="650"/>
      <c r="E59" s="442"/>
      <c r="F59" s="442"/>
      <c r="G59" s="442"/>
      <c r="H59" s="442"/>
      <c r="I59" s="442"/>
      <c r="J59" s="442"/>
      <c r="K59" s="442"/>
      <c r="L59" s="442"/>
      <c r="M59" s="442"/>
      <c r="N59" s="442"/>
      <c r="O59" s="442"/>
      <c r="P59" s="442"/>
      <c r="Q59" s="442"/>
      <c r="R59" s="442"/>
      <c r="S59" s="442"/>
    </row>
    <row r="60" spans="1:19" ht="14.75" x14ac:dyDescent="0.75">
      <c r="A60" s="442"/>
      <c r="B60" s="442"/>
      <c r="C60" s="442"/>
      <c r="D60" s="650"/>
      <c r="E60" s="442"/>
      <c r="F60" s="442"/>
      <c r="G60" s="442"/>
      <c r="H60" s="442"/>
      <c r="I60" s="442"/>
      <c r="J60" s="442"/>
      <c r="K60" s="442"/>
      <c r="L60" s="442"/>
      <c r="M60" s="442"/>
      <c r="N60" s="442"/>
      <c r="O60" s="442"/>
      <c r="P60" s="442"/>
      <c r="Q60" s="442"/>
      <c r="R60" s="442"/>
      <c r="S60" s="442"/>
    </row>
    <row r="61" spans="1:19" ht="14.75" x14ac:dyDescent="0.75">
      <c r="A61" s="442"/>
      <c r="B61" s="442"/>
      <c r="C61" s="442"/>
      <c r="D61" s="650"/>
      <c r="E61" s="442"/>
      <c r="F61" s="442"/>
      <c r="G61" s="442"/>
      <c r="H61" s="442"/>
      <c r="I61" s="442"/>
      <c r="J61" s="442"/>
      <c r="K61" s="442"/>
      <c r="L61" s="442"/>
      <c r="M61" s="442"/>
      <c r="N61" s="442"/>
      <c r="O61" s="442"/>
      <c r="P61" s="442"/>
      <c r="Q61" s="442"/>
      <c r="R61" s="442"/>
      <c r="S61" s="442"/>
    </row>
    <row r="62" spans="1:19" ht="14.75" x14ac:dyDescent="0.75">
      <c r="A62" s="442"/>
      <c r="B62" s="442"/>
      <c r="C62" s="442"/>
      <c r="D62" s="650"/>
      <c r="E62" s="442"/>
      <c r="F62" s="442"/>
      <c r="G62" s="442"/>
      <c r="H62" s="442"/>
      <c r="I62" s="442"/>
      <c r="J62" s="442"/>
      <c r="K62" s="442"/>
      <c r="L62" s="442"/>
      <c r="M62" s="442"/>
      <c r="N62" s="442"/>
      <c r="O62" s="442"/>
      <c r="P62" s="442"/>
      <c r="Q62" s="442"/>
      <c r="R62" s="442"/>
      <c r="S62" s="442"/>
    </row>
    <row r="63" spans="1:19" ht="14.75" x14ac:dyDescent="0.75">
      <c r="A63" s="442"/>
      <c r="B63" s="442"/>
      <c r="C63" s="442"/>
      <c r="D63" s="650"/>
      <c r="E63" s="442"/>
      <c r="F63" s="442"/>
      <c r="G63" s="442"/>
      <c r="H63" s="442"/>
      <c r="I63" s="442"/>
      <c r="J63" s="442"/>
      <c r="K63" s="442"/>
      <c r="L63" s="442"/>
      <c r="M63" s="442"/>
      <c r="N63" s="442"/>
      <c r="O63" s="442"/>
      <c r="P63" s="442"/>
      <c r="Q63" s="442"/>
      <c r="R63" s="442"/>
      <c r="S63" s="442"/>
    </row>
    <row r="64" spans="1:19" ht="14.75" x14ac:dyDescent="0.75">
      <c r="A64" s="442"/>
      <c r="B64" s="442"/>
      <c r="C64" s="442"/>
      <c r="D64" s="650"/>
      <c r="E64" s="442"/>
      <c r="F64" s="442"/>
      <c r="G64" s="442"/>
      <c r="H64" s="442"/>
      <c r="I64" s="442"/>
      <c r="J64" s="442"/>
      <c r="K64" s="442"/>
      <c r="L64" s="442"/>
      <c r="M64" s="442"/>
      <c r="N64" s="442"/>
      <c r="O64" s="442"/>
      <c r="P64" s="442"/>
      <c r="Q64" s="442"/>
      <c r="R64" s="442"/>
      <c r="S64" s="442"/>
    </row>
    <row r="65" spans="1:19" ht="14.75" x14ac:dyDescent="0.75">
      <c r="A65" s="442"/>
      <c r="B65" s="442"/>
      <c r="C65" s="442"/>
      <c r="D65" s="650"/>
      <c r="E65" s="442"/>
      <c r="F65" s="442"/>
      <c r="G65" s="442"/>
      <c r="H65" s="442"/>
      <c r="I65" s="442"/>
      <c r="J65" s="442"/>
      <c r="K65" s="442"/>
      <c r="L65" s="442"/>
      <c r="M65" s="442"/>
      <c r="N65" s="442"/>
      <c r="O65" s="442"/>
      <c r="P65" s="442"/>
      <c r="Q65" s="442"/>
      <c r="R65" s="442"/>
      <c r="S65" s="442"/>
    </row>
    <row r="66" spans="1:19" ht="14.75" x14ac:dyDescent="0.75">
      <c r="A66" s="442"/>
      <c r="B66" s="442"/>
      <c r="C66" s="442"/>
      <c r="D66" s="650"/>
      <c r="E66" s="442"/>
      <c r="F66" s="442"/>
      <c r="G66" s="442"/>
      <c r="H66" s="442"/>
      <c r="I66" s="442"/>
      <c r="J66" s="442"/>
      <c r="K66" s="442"/>
      <c r="L66" s="442"/>
      <c r="M66" s="442"/>
      <c r="N66" s="442"/>
      <c r="O66" s="442"/>
      <c r="P66" s="442"/>
      <c r="Q66" s="442"/>
      <c r="R66" s="442"/>
      <c r="S66" s="442"/>
    </row>
    <row r="67" spans="1:19" ht="14.75" x14ac:dyDescent="0.75">
      <c r="A67" s="442"/>
      <c r="B67" s="442"/>
      <c r="C67" s="442"/>
      <c r="D67" s="650"/>
      <c r="E67" s="442"/>
      <c r="F67" s="442"/>
      <c r="G67" s="442"/>
      <c r="H67" s="442"/>
      <c r="I67" s="442"/>
      <c r="J67" s="442"/>
      <c r="K67" s="442"/>
      <c r="L67" s="442"/>
      <c r="M67" s="442"/>
      <c r="N67" s="442"/>
      <c r="O67" s="442"/>
      <c r="P67" s="442"/>
      <c r="Q67" s="442"/>
      <c r="R67" s="442"/>
      <c r="S67" s="442"/>
    </row>
    <row r="68" spans="1:19" ht="14.75" x14ac:dyDescent="0.75">
      <c r="A68" s="442"/>
      <c r="B68" s="442"/>
      <c r="C68" s="442"/>
      <c r="D68" s="650"/>
      <c r="E68" s="442"/>
      <c r="F68" s="442"/>
      <c r="G68" s="442"/>
      <c r="H68" s="442"/>
      <c r="I68" s="442"/>
      <c r="J68" s="442"/>
      <c r="K68" s="442"/>
      <c r="L68" s="442"/>
      <c r="M68" s="442"/>
      <c r="N68" s="442"/>
      <c r="O68" s="442"/>
      <c r="P68" s="442"/>
      <c r="Q68" s="442"/>
      <c r="R68" s="442"/>
      <c r="S68" s="442"/>
    </row>
    <row r="69" spans="1:19" ht="14.75" x14ac:dyDescent="0.75">
      <c r="A69" s="442"/>
      <c r="B69" s="442"/>
      <c r="C69" s="442"/>
      <c r="D69" s="650"/>
      <c r="E69" s="442"/>
      <c r="F69" s="442"/>
      <c r="G69" s="442"/>
      <c r="H69" s="442"/>
      <c r="I69" s="442"/>
      <c r="J69" s="442"/>
      <c r="K69" s="442"/>
      <c r="L69" s="442"/>
      <c r="M69" s="442"/>
      <c r="N69" s="442"/>
      <c r="O69" s="442"/>
      <c r="P69" s="442"/>
      <c r="Q69" s="442"/>
      <c r="R69" s="442"/>
      <c r="S69" s="442"/>
    </row>
    <row r="70" spans="1:19" ht="14.75" x14ac:dyDescent="0.75">
      <c r="A70" s="442"/>
      <c r="B70" s="442"/>
      <c r="C70" s="442"/>
      <c r="D70" s="650"/>
      <c r="E70" s="442"/>
      <c r="F70" s="442"/>
      <c r="G70" s="442"/>
      <c r="H70" s="442"/>
      <c r="I70" s="442"/>
      <c r="J70" s="442"/>
      <c r="K70" s="442"/>
      <c r="L70" s="442"/>
      <c r="M70" s="442"/>
      <c r="N70" s="442"/>
      <c r="O70" s="442"/>
      <c r="P70" s="442"/>
      <c r="Q70" s="442"/>
      <c r="R70" s="442"/>
      <c r="S70" s="442"/>
    </row>
    <row r="71" spans="1:19" ht="14.75" x14ac:dyDescent="0.75">
      <c r="A71" s="442"/>
      <c r="B71" s="442"/>
      <c r="C71" s="442"/>
      <c r="D71" s="650"/>
      <c r="E71" s="442"/>
      <c r="F71" s="442"/>
      <c r="G71" s="442"/>
      <c r="H71" s="442"/>
      <c r="I71" s="442"/>
      <c r="J71" s="442"/>
      <c r="K71" s="442"/>
      <c r="L71" s="442"/>
      <c r="M71" s="442"/>
      <c r="N71" s="442"/>
      <c r="O71" s="442"/>
      <c r="P71" s="442"/>
      <c r="Q71" s="442"/>
      <c r="R71" s="442"/>
      <c r="S71" s="442"/>
    </row>
    <row r="72" spans="1:19" ht="14.75" x14ac:dyDescent="0.75">
      <c r="A72" s="442"/>
      <c r="B72" s="442"/>
      <c r="C72" s="442"/>
      <c r="D72" s="650"/>
      <c r="E72" s="442"/>
      <c r="F72" s="442"/>
      <c r="G72" s="442"/>
      <c r="H72" s="442"/>
      <c r="I72" s="442"/>
      <c r="J72" s="442"/>
      <c r="K72" s="442"/>
      <c r="L72" s="442"/>
      <c r="M72" s="442"/>
      <c r="N72" s="442"/>
      <c r="O72" s="442"/>
      <c r="P72" s="442"/>
      <c r="Q72" s="442"/>
      <c r="R72" s="442"/>
      <c r="S72" s="442"/>
    </row>
    <row r="73" spans="1:19" ht="14.75" x14ac:dyDescent="0.75">
      <c r="A73" s="442"/>
      <c r="B73" s="442"/>
      <c r="C73" s="442"/>
      <c r="D73" s="650"/>
      <c r="E73" s="442"/>
      <c r="F73" s="442"/>
      <c r="G73" s="442"/>
      <c r="H73" s="442"/>
      <c r="I73" s="442"/>
      <c r="J73" s="442"/>
      <c r="K73" s="442"/>
      <c r="L73" s="442"/>
      <c r="M73" s="442"/>
      <c r="N73" s="442"/>
      <c r="O73" s="442"/>
      <c r="P73" s="442"/>
      <c r="Q73" s="442"/>
      <c r="R73" s="442"/>
      <c r="S73" s="442"/>
    </row>
    <row r="74" spans="1:19" ht="14.75" x14ac:dyDescent="0.75">
      <c r="A74" s="442"/>
      <c r="B74" s="442"/>
      <c r="C74" s="442"/>
      <c r="D74" s="650"/>
      <c r="E74" s="442"/>
      <c r="F74" s="442"/>
      <c r="G74" s="442"/>
      <c r="H74" s="442"/>
      <c r="I74" s="442"/>
      <c r="J74" s="442"/>
      <c r="K74" s="442"/>
      <c r="L74" s="442"/>
      <c r="M74" s="442"/>
      <c r="N74" s="442"/>
      <c r="O74" s="442"/>
      <c r="P74" s="442"/>
      <c r="Q74" s="442"/>
      <c r="R74" s="442"/>
      <c r="S74" s="442"/>
    </row>
    <row r="75" spans="1:19" ht="14.75" x14ac:dyDescent="0.75">
      <c r="A75" s="442"/>
      <c r="B75" s="442"/>
      <c r="C75" s="442"/>
      <c r="D75" s="650"/>
      <c r="E75" s="442"/>
      <c r="F75" s="442"/>
      <c r="G75" s="442"/>
      <c r="H75" s="442"/>
      <c r="I75" s="442"/>
      <c r="J75" s="442"/>
      <c r="K75" s="442"/>
      <c r="L75" s="442"/>
      <c r="M75" s="442"/>
      <c r="N75" s="442"/>
      <c r="O75" s="442"/>
      <c r="P75" s="442"/>
      <c r="Q75" s="442"/>
      <c r="R75" s="442"/>
      <c r="S75" s="442"/>
    </row>
    <row r="76" spans="1:19" ht="14.75" x14ac:dyDescent="0.75">
      <c r="A76" s="442"/>
      <c r="B76" s="442"/>
      <c r="C76" s="442"/>
      <c r="D76" s="650"/>
      <c r="E76" s="442"/>
      <c r="F76" s="442"/>
      <c r="G76" s="442"/>
      <c r="H76" s="442"/>
      <c r="I76" s="442"/>
      <c r="J76" s="442"/>
      <c r="K76" s="442"/>
      <c r="L76" s="442"/>
      <c r="M76" s="442"/>
      <c r="N76" s="442"/>
      <c r="O76" s="442"/>
      <c r="P76" s="442"/>
      <c r="Q76" s="442"/>
      <c r="R76" s="442"/>
      <c r="S76" s="442"/>
    </row>
    <row r="77" spans="1:19" ht="14.75" x14ac:dyDescent="0.75">
      <c r="A77" s="442"/>
      <c r="B77" s="442"/>
      <c r="C77" s="442"/>
      <c r="D77" s="650"/>
      <c r="E77" s="442"/>
      <c r="F77" s="442"/>
      <c r="G77" s="442"/>
      <c r="H77" s="442"/>
      <c r="I77" s="442"/>
      <c r="J77" s="442"/>
      <c r="K77" s="442"/>
      <c r="L77" s="442"/>
      <c r="M77" s="442"/>
      <c r="N77" s="442"/>
      <c r="O77" s="442"/>
      <c r="P77" s="442"/>
      <c r="Q77" s="442"/>
      <c r="R77" s="442"/>
      <c r="S77" s="442"/>
    </row>
    <row r="78" spans="1:19" ht="14.75" x14ac:dyDescent="0.75">
      <c r="A78" s="442"/>
      <c r="B78" s="442"/>
      <c r="C78" s="442"/>
      <c r="D78" s="650"/>
      <c r="E78" s="442"/>
      <c r="F78" s="442"/>
      <c r="G78" s="442"/>
      <c r="H78" s="442"/>
      <c r="I78" s="442"/>
      <c r="J78" s="442"/>
      <c r="K78" s="442"/>
      <c r="L78" s="442"/>
      <c r="M78" s="442"/>
      <c r="N78" s="442"/>
      <c r="O78" s="442"/>
      <c r="P78" s="442"/>
      <c r="Q78" s="442"/>
      <c r="R78" s="442"/>
      <c r="S78" s="442"/>
    </row>
    <row r="79" spans="1:19" ht="14.75" x14ac:dyDescent="0.75">
      <c r="A79" s="442"/>
      <c r="B79" s="442"/>
      <c r="C79" s="442"/>
      <c r="D79" s="650"/>
      <c r="E79" s="442"/>
      <c r="F79" s="442"/>
      <c r="G79" s="442"/>
      <c r="H79" s="442"/>
      <c r="I79" s="442"/>
      <c r="J79" s="442"/>
      <c r="K79" s="442"/>
      <c r="L79" s="442"/>
      <c r="M79" s="442"/>
      <c r="N79" s="442"/>
      <c r="O79" s="442"/>
      <c r="P79" s="442"/>
      <c r="Q79" s="442"/>
      <c r="R79" s="442"/>
      <c r="S79" s="442"/>
    </row>
    <row r="80" spans="1:19" ht="14.75" x14ac:dyDescent="0.75">
      <c r="A80" s="442"/>
      <c r="B80" s="442"/>
      <c r="C80" s="442"/>
      <c r="D80" s="650"/>
      <c r="E80" s="442"/>
      <c r="F80" s="442"/>
      <c r="G80" s="442"/>
      <c r="H80" s="442"/>
      <c r="I80" s="442"/>
      <c r="J80" s="442"/>
      <c r="K80" s="442"/>
      <c r="L80" s="442"/>
      <c r="M80" s="442"/>
      <c r="N80" s="442"/>
      <c r="O80" s="442"/>
      <c r="P80" s="442"/>
      <c r="Q80" s="442"/>
      <c r="R80" s="442"/>
      <c r="S80" s="442"/>
    </row>
    <row r="81" spans="1:19" ht="14.75" x14ac:dyDescent="0.75">
      <c r="A81" s="442"/>
      <c r="B81" s="442"/>
      <c r="C81" s="442"/>
      <c r="D81" s="650"/>
      <c r="E81" s="442"/>
      <c r="F81" s="442"/>
      <c r="G81" s="442"/>
      <c r="H81" s="442"/>
      <c r="I81" s="442"/>
      <c r="J81" s="442"/>
      <c r="K81" s="442"/>
      <c r="L81" s="442"/>
      <c r="M81" s="442"/>
      <c r="N81" s="442"/>
      <c r="O81" s="442"/>
      <c r="P81" s="442"/>
      <c r="Q81" s="442"/>
      <c r="R81" s="442"/>
      <c r="S81" s="442"/>
    </row>
    <row r="82" spans="1:19" ht="14.75" x14ac:dyDescent="0.75">
      <c r="A82" s="442"/>
      <c r="B82" s="442"/>
      <c r="C82" s="442"/>
      <c r="D82" s="650"/>
      <c r="E82" s="442"/>
      <c r="F82" s="442"/>
      <c r="G82" s="442"/>
      <c r="H82" s="442"/>
      <c r="I82" s="442"/>
      <c r="J82" s="442"/>
      <c r="K82" s="442"/>
      <c r="L82" s="442"/>
      <c r="M82" s="442"/>
      <c r="N82" s="442"/>
      <c r="O82" s="442"/>
      <c r="P82" s="442"/>
      <c r="Q82" s="442"/>
      <c r="R82" s="442"/>
      <c r="S82" s="442"/>
    </row>
    <row r="83" spans="1:19" ht="14.75" x14ac:dyDescent="0.75">
      <c r="A83" s="442"/>
      <c r="B83" s="442"/>
      <c r="C83" s="442"/>
      <c r="D83" s="650"/>
      <c r="E83" s="442"/>
      <c r="F83" s="442"/>
      <c r="G83" s="442"/>
      <c r="H83" s="442"/>
      <c r="I83" s="442"/>
      <c r="J83" s="442"/>
      <c r="K83" s="442"/>
      <c r="L83" s="442"/>
      <c r="M83" s="442"/>
      <c r="N83" s="442"/>
      <c r="O83" s="442"/>
      <c r="P83" s="442"/>
      <c r="Q83" s="442"/>
      <c r="R83" s="442"/>
      <c r="S83" s="442"/>
    </row>
    <row r="84" spans="1:19" ht="14.75" x14ac:dyDescent="0.75">
      <c r="A84" s="442"/>
      <c r="B84" s="442"/>
      <c r="C84" s="442"/>
      <c r="D84" s="650"/>
      <c r="E84" s="442"/>
      <c r="F84" s="442"/>
      <c r="G84" s="442"/>
      <c r="H84" s="442"/>
      <c r="I84" s="442"/>
      <c r="J84" s="442"/>
      <c r="K84" s="442"/>
      <c r="L84" s="442"/>
      <c r="M84" s="442"/>
      <c r="N84" s="442"/>
      <c r="O84" s="442"/>
      <c r="P84" s="442"/>
      <c r="Q84" s="442"/>
      <c r="R84" s="442"/>
      <c r="S84" s="442"/>
    </row>
    <row r="85" spans="1:19" ht="14.75" x14ac:dyDescent="0.75">
      <c r="A85" s="442"/>
      <c r="B85" s="442"/>
      <c r="C85" s="442"/>
      <c r="D85" s="650"/>
      <c r="E85" s="442"/>
      <c r="F85" s="442"/>
      <c r="G85" s="442"/>
      <c r="H85" s="442"/>
      <c r="I85" s="442"/>
      <c r="J85" s="442"/>
      <c r="K85" s="442"/>
      <c r="L85" s="442"/>
      <c r="M85" s="442"/>
      <c r="N85" s="442"/>
      <c r="O85" s="442"/>
      <c r="P85" s="442"/>
      <c r="Q85" s="442"/>
      <c r="R85" s="442"/>
      <c r="S85" s="442"/>
    </row>
    <row r="86" spans="1:19" ht="14.75" x14ac:dyDescent="0.75">
      <c r="A86" s="442"/>
      <c r="B86" s="442"/>
      <c r="C86" s="442"/>
      <c r="D86" s="650"/>
      <c r="E86" s="442"/>
      <c r="F86" s="442"/>
      <c r="G86" s="442"/>
      <c r="H86" s="442"/>
      <c r="I86" s="442"/>
      <c r="J86" s="442"/>
      <c r="K86" s="442"/>
      <c r="L86" s="442"/>
      <c r="M86" s="442"/>
      <c r="N86" s="442"/>
      <c r="O86" s="442"/>
      <c r="P86" s="442"/>
      <c r="Q86" s="442"/>
      <c r="R86" s="442"/>
      <c r="S86" s="442"/>
    </row>
    <row r="87" spans="1:19" ht="14.75" x14ac:dyDescent="0.75">
      <c r="A87" s="442"/>
      <c r="B87" s="442"/>
      <c r="C87" s="442"/>
      <c r="D87" s="650"/>
      <c r="E87" s="442"/>
      <c r="F87" s="442"/>
      <c r="G87" s="442"/>
      <c r="H87" s="442"/>
      <c r="I87" s="442"/>
      <c r="J87" s="442"/>
      <c r="K87" s="442"/>
      <c r="L87" s="442"/>
      <c r="M87" s="442"/>
      <c r="N87" s="442"/>
      <c r="O87" s="442"/>
      <c r="P87" s="442"/>
      <c r="Q87" s="442"/>
      <c r="R87" s="442"/>
      <c r="S87" s="442"/>
    </row>
    <row r="88" spans="1:19" ht="14.75" x14ac:dyDescent="0.75">
      <c r="A88" s="442"/>
      <c r="B88" s="442"/>
      <c r="C88" s="442"/>
      <c r="D88" s="650"/>
      <c r="E88" s="442"/>
      <c r="F88" s="442"/>
      <c r="G88" s="442"/>
      <c r="H88" s="442"/>
      <c r="I88" s="442"/>
      <c r="J88" s="442"/>
      <c r="K88" s="442"/>
      <c r="L88" s="442"/>
      <c r="M88" s="442"/>
      <c r="N88" s="442"/>
      <c r="O88" s="442"/>
      <c r="P88" s="442"/>
      <c r="Q88" s="442"/>
      <c r="R88" s="442"/>
      <c r="S88" s="442"/>
    </row>
    <row r="89" spans="1:19" ht="14.75" x14ac:dyDescent="0.75">
      <c r="A89" s="442"/>
      <c r="B89" s="442"/>
      <c r="C89" s="442"/>
      <c r="D89" s="650"/>
      <c r="E89" s="442"/>
      <c r="F89" s="442"/>
      <c r="G89" s="442"/>
      <c r="H89" s="442"/>
      <c r="I89" s="442"/>
      <c r="J89" s="442"/>
      <c r="K89" s="442"/>
      <c r="L89" s="442"/>
      <c r="M89" s="442"/>
      <c r="N89" s="442"/>
      <c r="O89" s="442"/>
      <c r="P89" s="442"/>
      <c r="Q89" s="442"/>
      <c r="R89" s="442"/>
      <c r="S89" s="442"/>
    </row>
    <row r="90" spans="1:19" ht="14.75" x14ac:dyDescent="0.75">
      <c r="A90" s="442"/>
      <c r="B90" s="442"/>
      <c r="C90" s="442"/>
      <c r="D90" s="650"/>
      <c r="E90" s="442"/>
      <c r="F90" s="442"/>
      <c r="G90" s="442"/>
      <c r="H90" s="442"/>
      <c r="I90" s="442"/>
      <c r="J90" s="442"/>
      <c r="K90" s="442"/>
      <c r="L90" s="442"/>
      <c r="M90" s="442"/>
      <c r="N90" s="442"/>
      <c r="O90" s="442"/>
      <c r="P90" s="442"/>
      <c r="Q90" s="442"/>
      <c r="R90" s="442"/>
      <c r="S90" s="442"/>
    </row>
    <row r="91" spans="1:19" ht="14.75" x14ac:dyDescent="0.75">
      <c r="A91" s="442"/>
      <c r="B91" s="442"/>
      <c r="C91" s="442"/>
      <c r="D91" s="650"/>
      <c r="E91" s="442"/>
      <c r="F91" s="442"/>
      <c r="G91" s="442"/>
      <c r="H91" s="442"/>
      <c r="I91" s="442"/>
      <c r="J91" s="442"/>
      <c r="K91" s="442"/>
      <c r="L91" s="442"/>
      <c r="M91" s="442"/>
      <c r="N91" s="442"/>
      <c r="O91" s="442"/>
      <c r="P91" s="442"/>
      <c r="Q91" s="442"/>
      <c r="R91" s="442"/>
      <c r="S91" s="442"/>
    </row>
    <row r="92" spans="1:19" ht="14.75" x14ac:dyDescent="0.75">
      <c r="A92" s="442"/>
      <c r="B92" s="442"/>
      <c r="C92" s="442"/>
      <c r="D92" s="650"/>
      <c r="E92" s="442"/>
      <c r="F92" s="442"/>
      <c r="G92" s="442"/>
      <c r="H92" s="442"/>
      <c r="I92" s="442"/>
      <c r="J92" s="442"/>
      <c r="K92" s="442"/>
      <c r="L92" s="442"/>
      <c r="M92" s="442"/>
      <c r="N92" s="442"/>
      <c r="O92" s="442"/>
      <c r="P92" s="442"/>
      <c r="Q92" s="442"/>
      <c r="R92" s="442"/>
      <c r="S92" s="442"/>
    </row>
    <row r="93" spans="1:19" ht="14.75" x14ac:dyDescent="0.75">
      <c r="A93" s="442"/>
      <c r="B93" s="442"/>
      <c r="C93" s="442"/>
      <c r="D93" s="650"/>
      <c r="E93" s="442"/>
      <c r="F93" s="442"/>
      <c r="G93" s="442"/>
      <c r="H93" s="442"/>
      <c r="I93" s="442"/>
      <c r="J93" s="442"/>
      <c r="K93" s="442"/>
      <c r="L93" s="442"/>
      <c r="M93" s="442"/>
      <c r="N93" s="442"/>
      <c r="O93" s="442"/>
      <c r="P93" s="442"/>
      <c r="Q93" s="442"/>
      <c r="R93" s="442"/>
      <c r="S93" s="442"/>
    </row>
    <row r="94" spans="1:19" ht="14.75" x14ac:dyDescent="0.75">
      <c r="A94" s="442"/>
      <c r="B94" s="442"/>
      <c r="C94" s="442"/>
      <c r="D94" s="650"/>
      <c r="E94" s="442"/>
      <c r="F94" s="442"/>
      <c r="G94" s="442"/>
      <c r="H94" s="442"/>
      <c r="I94" s="442"/>
      <c r="J94" s="442"/>
      <c r="K94" s="442"/>
      <c r="L94" s="442"/>
      <c r="M94" s="442"/>
      <c r="N94" s="442"/>
      <c r="O94" s="442"/>
      <c r="P94" s="442"/>
      <c r="Q94" s="442"/>
      <c r="R94" s="442"/>
      <c r="S94" s="442"/>
    </row>
    <row r="95" spans="1:19" ht="14.75" x14ac:dyDescent="0.75">
      <c r="A95" s="442"/>
      <c r="B95" s="442"/>
      <c r="C95" s="442"/>
      <c r="D95" s="650"/>
      <c r="E95" s="442"/>
      <c r="F95" s="442"/>
      <c r="G95" s="442"/>
      <c r="H95" s="442"/>
      <c r="I95" s="442"/>
      <c r="J95" s="442"/>
      <c r="K95" s="442"/>
      <c r="L95" s="442"/>
      <c r="M95" s="442"/>
      <c r="N95" s="442"/>
      <c r="O95" s="442"/>
      <c r="P95" s="442"/>
      <c r="Q95" s="442"/>
      <c r="R95" s="442"/>
      <c r="S95" s="442"/>
    </row>
    <row r="96" spans="1:19" ht="14.75" x14ac:dyDescent="0.75">
      <c r="A96" s="442"/>
      <c r="B96" s="442"/>
      <c r="C96" s="442"/>
      <c r="D96" s="650"/>
      <c r="E96" s="442"/>
      <c r="F96" s="442"/>
      <c r="G96" s="442"/>
      <c r="H96" s="442"/>
      <c r="I96" s="442"/>
      <c r="J96" s="442"/>
      <c r="K96" s="442"/>
      <c r="L96" s="442"/>
      <c r="M96" s="442"/>
      <c r="N96" s="442"/>
      <c r="O96" s="442"/>
      <c r="P96" s="442"/>
      <c r="Q96" s="442"/>
      <c r="R96" s="442"/>
      <c r="S96" s="442"/>
    </row>
    <row r="97" spans="1:19" ht="14.75" x14ac:dyDescent="0.75">
      <c r="A97" s="442"/>
      <c r="B97" s="442"/>
      <c r="C97" s="442"/>
      <c r="D97" s="650"/>
      <c r="E97" s="442"/>
      <c r="F97" s="442"/>
      <c r="G97" s="442"/>
      <c r="H97" s="442"/>
      <c r="I97" s="442"/>
      <c r="J97" s="442"/>
      <c r="K97" s="442"/>
      <c r="L97" s="442"/>
      <c r="M97" s="442"/>
      <c r="N97" s="442"/>
      <c r="O97" s="442"/>
      <c r="P97" s="442"/>
      <c r="Q97" s="442"/>
      <c r="R97" s="442"/>
      <c r="S97" s="442"/>
    </row>
    <row r="98" spans="1:19" ht="14.75" x14ac:dyDescent="0.75">
      <c r="A98" s="442"/>
      <c r="B98" s="442"/>
      <c r="C98" s="442"/>
      <c r="D98" s="650"/>
      <c r="E98" s="442"/>
      <c r="F98" s="442"/>
      <c r="G98" s="442"/>
      <c r="H98" s="442"/>
      <c r="I98" s="442"/>
      <c r="J98" s="442"/>
      <c r="K98" s="442"/>
      <c r="L98" s="442"/>
      <c r="M98" s="442"/>
      <c r="N98" s="442"/>
      <c r="O98" s="442"/>
      <c r="P98" s="442"/>
      <c r="Q98" s="442"/>
      <c r="R98" s="442"/>
      <c r="S98" s="442"/>
    </row>
    <row r="99" spans="1:19" ht="14.75" x14ac:dyDescent="0.75">
      <c r="A99" s="442"/>
      <c r="B99" s="442"/>
      <c r="C99" s="442"/>
      <c r="D99" s="650"/>
      <c r="E99" s="442"/>
      <c r="F99" s="442"/>
      <c r="G99" s="442"/>
      <c r="H99" s="442"/>
      <c r="I99" s="442"/>
      <c r="J99" s="442"/>
      <c r="K99" s="442"/>
      <c r="L99" s="442"/>
      <c r="M99" s="442"/>
      <c r="N99" s="442"/>
      <c r="O99" s="442"/>
      <c r="P99" s="442"/>
      <c r="Q99" s="442"/>
      <c r="R99" s="442"/>
      <c r="S99" s="442"/>
    </row>
    <row r="100" spans="1:19" ht="14.75" x14ac:dyDescent="0.75">
      <c r="A100" s="442"/>
      <c r="B100" s="442"/>
      <c r="C100" s="442"/>
      <c r="D100" s="650"/>
      <c r="E100" s="442"/>
      <c r="F100" s="442"/>
      <c r="G100" s="442"/>
      <c r="H100" s="442"/>
      <c r="I100" s="442"/>
      <c r="J100" s="442"/>
      <c r="K100" s="442"/>
      <c r="L100" s="442"/>
      <c r="M100" s="442"/>
      <c r="N100" s="442"/>
      <c r="O100" s="442"/>
      <c r="P100" s="442"/>
      <c r="Q100" s="442"/>
      <c r="R100" s="442"/>
      <c r="S100" s="442"/>
    </row>
    <row r="101" spans="1:19" ht="14.75" x14ac:dyDescent="0.75">
      <c r="A101" s="442"/>
      <c r="B101" s="442"/>
      <c r="C101" s="442"/>
      <c r="D101" s="650"/>
      <c r="E101" s="442"/>
      <c r="F101" s="442"/>
      <c r="G101" s="442"/>
      <c r="H101" s="442"/>
      <c r="I101" s="442"/>
      <c r="J101" s="442"/>
      <c r="K101" s="442"/>
      <c r="L101" s="442"/>
      <c r="M101" s="442"/>
      <c r="N101" s="442"/>
      <c r="O101" s="442"/>
      <c r="P101" s="442"/>
      <c r="Q101" s="442"/>
      <c r="R101" s="442"/>
      <c r="S101" s="442"/>
    </row>
    <row r="102" spans="1:19" ht="14.75" x14ac:dyDescent="0.75">
      <c r="A102" s="442"/>
      <c r="B102" s="442"/>
      <c r="C102" s="442"/>
      <c r="D102" s="650"/>
      <c r="E102" s="442"/>
      <c r="F102" s="442"/>
      <c r="G102" s="442"/>
      <c r="H102" s="442"/>
      <c r="I102" s="442"/>
      <c r="J102" s="442"/>
      <c r="K102" s="442"/>
      <c r="L102" s="442"/>
      <c r="M102" s="442"/>
      <c r="N102" s="442"/>
      <c r="O102" s="442"/>
      <c r="P102" s="442"/>
      <c r="Q102" s="442"/>
      <c r="R102" s="442"/>
      <c r="S102" s="442"/>
    </row>
    <row r="103" spans="1:19" ht="14.75" x14ac:dyDescent="0.75">
      <c r="A103" s="442"/>
      <c r="B103" s="442"/>
      <c r="C103" s="442"/>
      <c r="D103" s="650"/>
      <c r="E103" s="442"/>
      <c r="F103" s="442"/>
      <c r="G103" s="442"/>
      <c r="H103" s="442"/>
      <c r="I103" s="442"/>
      <c r="J103" s="442"/>
      <c r="K103" s="442"/>
      <c r="L103" s="442"/>
      <c r="M103" s="442"/>
      <c r="N103" s="442"/>
      <c r="O103" s="442"/>
      <c r="P103" s="442"/>
      <c r="Q103" s="442"/>
      <c r="R103" s="442"/>
      <c r="S103" s="442"/>
    </row>
    <row r="104" spans="1:19" ht="14.75" x14ac:dyDescent="0.75">
      <c r="A104" s="442"/>
      <c r="B104" s="442"/>
      <c r="C104" s="442"/>
      <c r="D104" s="650"/>
      <c r="E104" s="442"/>
      <c r="F104" s="442"/>
      <c r="G104" s="442"/>
      <c r="H104" s="442"/>
      <c r="I104" s="442"/>
      <c r="J104" s="442"/>
      <c r="K104" s="442"/>
      <c r="L104" s="442"/>
      <c r="M104" s="442"/>
      <c r="N104" s="442"/>
      <c r="O104" s="442"/>
      <c r="P104" s="442"/>
      <c r="Q104" s="442"/>
      <c r="R104" s="442"/>
      <c r="S104" s="442"/>
    </row>
    <row r="105" spans="1:19" ht="14.75" x14ac:dyDescent="0.75">
      <c r="A105" s="442"/>
      <c r="B105" s="442"/>
      <c r="C105" s="442"/>
      <c r="D105" s="650"/>
      <c r="E105" s="442"/>
      <c r="F105" s="442"/>
      <c r="G105" s="442"/>
      <c r="H105" s="442"/>
      <c r="I105" s="442"/>
      <c r="J105" s="442"/>
      <c r="K105" s="442"/>
      <c r="L105" s="442"/>
      <c r="M105" s="442"/>
      <c r="N105" s="442"/>
      <c r="O105" s="442"/>
      <c r="P105" s="442"/>
      <c r="Q105" s="442"/>
      <c r="R105" s="442"/>
      <c r="S105" s="442"/>
    </row>
    <row r="106" spans="1:19" ht="14.75" x14ac:dyDescent="0.75">
      <c r="A106" s="442"/>
      <c r="B106" s="442"/>
      <c r="C106" s="442"/>
      <c r="D106" s="650"/>
      <c r="E106" s="442"/>
      <c r="F106" s="442"/>
      <c r="G106" s="442"/>
      <c r="H106" s="442"/>
      <c r="I106" s="442"/>
      <c r="J106" s="442"/>
      <c r="K106" s="442"/>
      <c r="L106" s="442"/>
      <c r="M106" s="442"/>
      <c r="N106" s="442"/>
      <c r="O106" s="442"/>
      <c r="P106" s="442"/>
      <c r="Q106" s="442"/>
      <c r="R106" s="442"/>
      <c r="S106" s="442"/>
    </row>
    <row r="107" spans="1:19" ht="14.75" x14ac:dyDescent="0.75">
      <c r="A107" s="442"/>
      <c r="B107" s="442"/>
      <c r="C107" s="442"/>
      <c r="D107" s="650"/>
      <c r="E107" s="442"/>
      <c r="F107" s="442"/>
      <c r="G107" s="442"/>
      <c r="H107" s="442"/>
      <c r="I107" s="442"/>
      <c r="J107" s="442"/>
      <c r="K107" s="442"/>
      <c r="L107" s="442"/>
      <c r="M107" s="442"/>
      <c r="N107" s="442"/>
      <c r="O107" s="442"/>
      <c r="P107" s="442"/>
      <c r="Q107" s="442"/>
      <c r="R107" s="442"/>
      <c r="S107" s="442"/>
    </row>
    <row r="108" spans="1:19" ht="14.75" x14ac:dyDescent="0.75">
      <c r="A108" s="442"/>
      <c r="B108" s="442"/>
      <c r="C108" s="442"/>
      <c r="D108" s="650"/>
      <c r="E108" s="442"/>
      <c r="F108" s="442"/>
      <c r="G108" s="442"/>
      <c r="H108" s="442"/>
      <c r="I108" s="442"/>
      <c r="J108" s="442"/>
      <c r="K108" s="442"/>
      <c r="L108" s="442"/>
      <c r="M108" s="442"/>
      <c r="N108" s="442"/>
      <c r="O108" s="442"/>
      <c r="P108" s="442"/>
      <c r="Q108" s="442"/>
      <c r="R108" s="442"/>
      <c r="S108" s="442"/>
    </row>
    <row r="109" spans="1:19" ht="14.75" x14ac:dyDescent="0.75">
      <c r="A109" s="442"/>
      <c r="B109" s="442"/>
      <c r="C109" s="442"/>
      <c r="D109" s="650"/>
      <c r="E109" s="442"/>
      <c r="F109" s="442"/>
      <c r="G109" s="442"/>
      <c r="H109" s="442"/>
      <c r="I109" s="442"/>
      <c r="J109" s="442"/>
      <c r="K109" s="442"/>
      <c r="L109" s="442"/>
      <c r="M109" s="442"/>
      <c r="N109" s="442"/>
      <c r="O109" s="442"/>
      <c r="P109" s="442"/>
      <c r="Q109" s="442"/>
      <c r="R109" s="442"/>
      <c r="S109" s="442"/>
    </row>
    <row r="110" spans="1:19" ht="14.75" x14ac:dyDescent="0.75">
      <c r="A110" s="442"/>
      <c r="B110" s="442"/>
      <c r="C110" s="442"/>
      <c r="D110" s="650"/>
      <c r="E110" s="442"/>
      <c r="F110" s="442"/>
      <c r="G110" s="442"/>
      <c r="H110" s="442"/>
      <c r="I110" s="442"/>
      <c r="J110" s="442"/>
      <c r="K110" s="442"/>
      <c r="L110" s="442"/>
      <c r="M110" s="442"/>
      <c r="N110" s="442"/>
      <c r="O110" s="442"/>
      <c r="P110" s="442"/>
      <c r="Q110" s="442"/>
      <c r="R110" s="442"/>
      <c r="S110" s="442"/>
    </row>
    <row r="111" spans="1:19" ht="14.75" x14ac:dyDescent="0.75">
      <c r="A111" s="442"/>
      <c r="B111" s="442"/>
      <c r="C111" s="442"/>
      <c r="D111" s="650"/>
      <c r="E111" s="442"/>
      <c r="F111" s="442"/>
      <c r="G111" s="442"/>
      <c r="H111" s="442"/>
      <c r="I111" s="442"/>
      <c r="J111" s="442"/>
      <c r="K111" s="442"/>
      <c r="L111" s="442"/>
      <c r="M111" s="442"/>
      <c r="N111" s="442"/>
      <c r="O111" s="442"/>
      <c r="P111" s="442"/>
      <c r="Q111" s="442"/>
      <c r="R111" s="442"/>
      <c r="S111" s="442"/>
    </row>
    <row r="112" spans="1:19" ht="14.75" x14ac:dyDescent="0.75">
      <c r="A112" s="442"/>
      <c r="B112" s="442"/>
      <c r="C112" s="442"/>
      <c r="D112" s="650"/>
      <c r="E112" s="442"/>
      <c r="F112" s="442"/>
      <c r="G112" s="442"/>
      <c r="H112" s="442"/>
      <c r="I112" s="442"/>
      <c r="J112" s="442"/>
      <c r="K112" s="442"/>
      <c r="L112" s="442"/>
      <c r="M112" s="442"/>
      <c r="N112" s="442"/>
      <c r="O112" s="442"/>
      <c r="P112" s="442"/>
      <c r="Q112" s="442"/>
      <c r="R112" s="442"/>
      <c r="S112" s="442"/>
    </row>
    <row r="113" spans="1:19" ht="14.75" x14ac:dyDescent="0.75">
      <c r="A113" s="442"/>
      <c r="B113" s="442"/>
      <c r="C113" s="442"/>
      <c r="D113" s="650"/>
      <c r="E113" s="442"/>
      <c r="F113" s="442"/>
      <c r="G113" s="442"/>
      <c r="H113" s="442"/>
      <c r="I113" s="442"/>
      <c r="J113" s="442"/>
      <c r="K113" s="442"/>
      <c r="L113" s="442"/>
      <c r="M113" s="442"/>
      <c r="N113" s="442"/>
      <c r="O113" s="442"/>
      <c r="P113" s="442"/>
      <c r="Q113" s="442"/>
      <c r="R113" s="442"/>
      <c r="S113" s="442"/>
    </row>
    <row r="114" spans="1:19" ht="14.75" x14ac:dyDescent="0.75">
      <c r="A114" s="442"/>
      <c r="B114" s="442"/>
      <c r="C114" s="442"/>
      <c r="D114" s="650"/>
      <c r="E114" s="442"/>
      <c r="F114" s="442"/>
      <c r="G114" s="442"/>
      <c r="H114" s="442"/>
      <c r="I114" s="442"/>
      <c r="J114" s="442"/>
      <c r="K114" s="442"/>
      <c r="L114" s="442"/>
      <c r="M114" s="442"/>
      <c r="N114" s="442"/>
      <c r="O114" s="442"/>
      <c r="P114" s="442"/>
      <c r="Q114" s="442"/>
      <c r="R114" s="442"/>
      <c r="S114" s="442"/>
    </row>
    <row r="115" spans="1:19" ht="14.75" x14ac:dyDescent="0.75">
      <c r="A115" s="442"/>
      <c r="B115" s="442"/>
      <c r="C115" s="442"/>
      <c r="D115" s="650"/>
      <c r="E115" s="442"/>
      <c r="F115" s="442"/>
      <c r="G115" s="442"/>
      <c r="H115" s="442"/>
      <c r="I115" s="442"/>
      <c r="J115" s="442"/>
      <c r="K115" s="442"/>
      <c r="L115" s="442"/>
      <c r="M115" s="442"/>
      <c r="N115" s="442"/>
      <c r="O115" s="442"/>
      <c r="P115" s="442"/>
      <c r="Q115" s="442"/>
      <c r="R115" s="442"/>
      <c r="S115" s="442"/>
    </row>
  </sheetData>
  <sheetProtection algorithmName="SHA-512" hashValue="xoLFbm8URn409zguJZf17ipO/s04gZnbYyrMjfqn8XYCfoiKPFhtoX8HRkF8jduX5WTtofMXL64hRqBDUlwbbw==" saltValue="MkOogMum9urkhZhD2yL35w==" spinCount="100000" sheet="1" selectLockedCells="1"/>
  <mergeCells count="54">
    <mergeCell ref="Q24:S24"/>
    <mergeCell ref="Q26:S26"/>
    <mergeCell ref="B24:B27"/>
    <mergeCell ref="Q38:S38"/>
    <mergeCell ref="Q41:S41"/>
    <mergeCell ref="Q36:S36"/>
    <mergeCell ref="Q37:S37"/>
    <mergeCell ref="D32:D34"/>
    <mergeCell ref="Q5:S5"/>
    <mergeCell ref="Q25:S25"/>
    <mergeCell ref="Q33:S33"/>
    <mergeCell ref="Q34:S34"/>
    <mergeCell ref="Q35:S35"/>
    <mergeCell ref="Q28:S28"/>
    <mergeCell ref="Q29:S29"/>
    <mergeCell ref="Q30:S30"/>
    <mergeCell ref="Q31:S31"/>
    <mergeCell ref="Q32:S32"/>
    <mergeCell ref="Q23:S23"/>
    <mergeCell ref="Q22:S22"/>
    <mergeCell ref="Q27:S27"/>
    <mergeCell ref="Q20:S20"/>
    <mergeCell ref="Q12:S12"/>
    <mergeCell ref="Q13:S13"/>
    <mergeCell ref="D8:F8"/>
    <mergeCell ref="B35:B38"/>
    <mergeCell ref="B32:B34"/>
    <mergeCell ref="B30:B31"/>
    <mergeCell ref="A29:A34"/>
    <mergeCell ref="A18:A28"/>
    <mergeCell ref="B18:B23"/>
    <mergeCell ref="A8:B8"/>
    <mergeCell ref="B12:B14"/>
    <mergeCell ref="B15:B17"/>
    <mergeCell ref="A10:A17"/>
    <mergeCell ref="B10:B11"/>
    <mergeCell ref="A35:A38"/>
    <mergeCell ref="A2:C2"/>
    <mergeCell ref="B3:C3"/>
    <mergeCell ref="A5:B5"/>
    <mergeCell ref="A6:B6"/>
    <mergeCell ref="A7:B7"/>
    <mergeCell ref="Q17:S17"/>
    <mergeCell ref="Q18:S18"/>
    <mergeCell ref="Q19:S19"/>
    <mergeCell ref="Q21:S21"/>
    <mergeCell ref="G9:H9"/>
    <mergeCell ref="I9:J9"/>
    <mergeCell ref="Q14:S14"/>
    <mergeCell ref="Q15:S15"/>
    <mergeCell ref="Q16:S16"/>
    <mergeCell ref="Q9:S9"/>
    <mergeCell ref="Q10:S10"/>
    <mergeCell ref="Q11:S11"/>
  </mergeCells>
  <conditionalFormatting sqref="K10:K17">
    <cfRule type="expression" dxfId="1" priority="1">
      <formula>$E10&lt;$K10</formula>
    </cfRule>
  </conditionalFormatting>
  <conditionalFormatting sqref="U11">
    <cfRule type="expression" dxfId="0" priority="3">
      <formula>#REF!&gt;$U11</formula>
    </cfRule>
  </conditionalFormatting>
  <dataValidations count="5">
    <dataValidation type="list" allowBlank="1" showInputMessage="1" showErrorMessage="1" sqref="H11" xr:uid="{1C48B7B8-21BC-4AF0-93DA-3AC1F6C094E4}">
      <formula1>"50, 100, 250, 500, 750, 1000"</formula1>
    </dataValidation>
    <dataValidation type="list" allowBlank="1" showInputMessage="1" showErrorMessage="1" sqref="H10" xr:uid="{82F2661E-F919-491C-9D57-7C672624F99C}">
      <formula1>"1, 2, 3, 4, 5, 6, 7, 8, 9, 10"</formula1>
    </dataValidation>
    <dataValidation type="list" allowBlank="1" showInputMessage="1" showErrorMessage="1" sqref="I30" xr:uid="{1022D663-BF73-457E-B66B-C2744FE4BA68}">
      <formula1>"Electric Buses, Hydrogen Fuel Cell Buses"</formula1>
    </dataValidation>
    <dataValidation type="list" allowBlank="1" showInputMessage="1" showErrorMessage="1" sqref="I31" xr:uid="{715BF8E7-7225-4A87-85BC-EAF491C7EAF7}">
      <formula1>"Propane Buses, CNG/LNG Buses, Biodiesel Buses"</formula1>
    </dataValidation>
    <dataValidation type="list" allowBlank="1" showInputMessage="1" showErrorMessage="1" sqref="H8" xr:uid="{1C1BD884-FF35-4D9A-8B18-FFBE49B330D6}">
      <formula1>"Minnesota,Wisconsin,Michigan"</formula1>
    </dataValidation>
  </dataValidations>
  <pageMargins left="0.7" right="0.7" top="0.75" bottom="0.75" header="0.3" footer="0.3"/>
  <pageSetup paperSize="0" orientation="portrait" r:id="rId1"/>
  <ignoredErrors>
    <ignoredError sqref="F38" 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4060B40-BCB6-4E1A-A328-39D39EB55A5D}">
          <x14:formula1>
            <xm:f>Renewables!$A$36:$A$58</xm:f>
          </x14:formula1>
          <xm:sqref>H16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EC07-7817-44E1-87B6-12BEEF6CA897}">
  <sheetPr>
    <tabColor theme="8"/>
  </sheetPr>
  <dimension ref="A1:T36"/>
  <sheetViews>
    <sheetView workbookViewId="0">
      <pane ySplit="1" topLeftCell="A2" activePane="bottomLeft" state="frozen"/>
      <selection activeCell="I14" sqref="I14"/>
      <selection pane="bottomLeft" activeCell="I14" sqref="I14"/>
    </sheetView>
  </sheetViews>
  <sheetFormatPr defaultRowHeight="14.25" x14ac:dyDescent="0.65"/>
  <cols>
    <col min="1" max="1" width="21.625" bestFit="1" customWidth="1"/>
    <col min="2" max="2" width="14.25" customWidth="1"/>
    <col min="3" max="3" width="19" customWidth="1"/>
    <col min="4" max="4" width="16.75" customWidth="1"/>
    <col min="5" max="7" width="12" customWidth="1"/>
    <col min="8" max="8" width="14.25" customWidth="1"/>
    <col min="9" max="9" width="11.875" customWidth="1"/>
    <col min="10" max="10" width="11.75" customWidth="1"/>
    <col min="12" max="12" width="10.125" bestFit="1" customWidth="1"/>
    <col min="16" max="16" width="8.5" customWidth="1"/>
  </cols>
  <sheetData>
    <row r="1" spans="1:20" ht="23" x14ac:dyDescent="1">
      <c r="A1" s="327" t="s">
        <v>499</v>
      </c>
      <c r="B1" s="327" t="str">
        <f>'Tribal Measure Tool'!H6</f>
        <v>Type Name Here</v>
      </c>
      <c r="D1" s="460" t="s">
        <v>793</v>
      </c>
      <c r="E1" s="1"/>
      <c r="F1" s="335">
        <f>'Tribal Measure Tool'!E5</f>
        <v>1216</v>
      </c>
      <c r="G1" s="1"/>
      <c r="H1" s="460" t="s">
        <v>719</v>
      </c>
      <c r="J1" s="460">
        <f>'Tribal Measure Tool'!E6</f>
        <v>601</v>
      </c>
      <c r="M1" s="460" t="s">
        <v>807</v>
      </c>
      <c r="N1" s="335"/>
      <c r="O1" s="460"/>
      <c r="P1" s="462">
        <f>'Tribal Measure Tool'!E7</f>
        <v>0</v>
      </c>
      <c r="Q1" t="s">
        <v>950</v>
      </c>
      <c r="R1" s="560">
        <f>'Tool Reference'!T15</f>
        <v>1181.686547460436</v>
      </c>
      <c r="S1" s="460" t="s">
        <v>1095</v>
      </c>
      <c r="T1" s="462">
        <f>'Tool Reference'!V15</f>
        <v>0.10589224521250197</v>
      </c>
    </row>
    <row r="2" spans="1:20" ht="21" x14ac:dyDescent="0.65">
      <c r="A2" s="336">
        <v>1</v>
      </c>
      <c r="B2" s="336">
        <v>2</v>
      </c>
      <c r="C2" s="336">
        <v>3</v>
      </c>
      <c r="D2" s="336">
        <v>4</v>
      </c>
      <c r="E2" s="336">
        <v>5</v>
      </c>
      <c r="F2" s="336">
        <v>6</v>
      </c>
      <c r="G2" s="336">
        <v>7</v>
      </c>
      <c r="H2" s="336">
        <v>8</v>
      </c>
      <c r="I2" s="336">
        <v>9</v>
      </c>
      <c r="J2" s="336">
        <v>10</v>
      </c>
      <c r="K2" s="336">
        <v>11</v>
      </c>
      <c r="L2" s="336">
        <v>12</v>
      </c>
      <c r="M2" s="336">
        <v>13</v>
      </c>
      <c r="N2" s="336"/>
    </row>
    <row r="3" spans="1:20" ht="26" x14ac:dyDescent="0.65">
      <c r="A3" s="1582" t="s">
        <v>533</v>
      </c>
      <c r="B3" s="1583"/>
      <c r="C3" s="1583"/>
      <c r="D3" s="1583"/>
      <c r="E3" s="1583"/>
      <c r="F3" s="1583"/>
      <c r="G3" s="1583"/>
      <c r="H3" s="1583"/>
      <c r="I3" s="1583"/>
      <c r="J3" s="1583"/>
      <c r="K3" s="1583"/>
      <c r="L3" s="59"/>
      <c r="M3" s="59"/>
      <c r="N3" s="59"/>
    </row>
    <row r="4" spans="1:20" ht="18.5" x14ac:dyDescent="0.7">
      <c r="A4" s="330"/>
      <c r="B4" s="330"/>
      <c r="C4" s="330"/>
      <c r="D4" s="330"/>
      <c r="E4" s="330"/>
      <c r="F4" s="330"/>
      <c r="G4" s="330"/>
      <c r="H4" s="330"/>
      <c r="I4" s="330"/>
      <c r="J4" s="330"/>
      <c r="K4" s="330"/>
      <c r="L4" s="16"/>
      <c r="P4" t="s">
        <v>826</v>
      </c>
    </row>
    <row r="5" spans="1:20" ht="21" x14ac:dyDescent="0.65">
      <c r="A5" s="467" t="s">
        <v>827</v>
      </c>
      <c r="B5" s="467"/>
      <c r="C5" s="467"/>
      <c r="D5" s="59"/>
      <c r="E5" s="59"/>
      <c r="F5" s="59"/>
      <c r="G5" s="59"/>
      <c r="H5" s="59"/>
      <c r="I5" s="59"/>
      <c r="J5" s="59"/>
      <c r="K5" s="59"/>
      <c r="L5" s="59"/>
    </row>
    <row r="6" spans="1:20" ht="87" x14ac:dyDescent="0.7">
      <c r="A6" s="1" t="s">
        <v>571</v>
      </c>
      <c r="B6" s="16" t="s">
        <v>573</v>
      </c>
      <c r="C6" s="16" t="s">
        <v>574</v>
      </c>
      <c r="D6" s="1" t="s">
        <v>572</v>
      </c>
      <c r="E6" s="16" t="s">
        <v>810</v>
      </c>
      <c r="F6" s="16" t="s">
        <v>809</v>
      </c>
      <c r="G6" s="16" t="s">
        <v>757</v>
      </c>
      <c r="H6" s="16" t="s">
        <v>808</v>
      </c>
      <c r="I6" s="16" t="s">
        <v>758</v>
      </c>
    </row>
    <row r="7" spans="1:20" x14ac:dyDescent="0.65">
      <c r="A7" s="323">
        <v>1</v>
      </c>
      <c r="B7" s="10">
        <v>1330717</v>
      </c>
      <c r="C7" s="10">
        <f>B7/1000</f>
        <v>1330.7170000000001</v>
      </c>
      <c r="D7" s="323">
        <f>'Tribal Measure Tool'!J$10</f>
        <v>0</v>
      </c>
      <c r="E7" s="5">
        <f>D7*$B$21*C7</f>
        <v>0</v>
      </c>
      <c r="F7" s="5">
        <f>(C7*D7)-E7</f>
        <v>0</v>
      </c>
      <c r="G7" s="10">
        <f>F7*F$1*Factors!N$27</f>
        <v>0</v>
      </c>
      <c r="H7" s="10">
        <f>(E7*($F$1*(1+$P$1)))*Factors!N$27</f>
        <v>0</v>
      </c>
      <c r="I7" s="434">
        <f>SUM(G7,H7)</f>
        <v>0</v>
      </c>
      <c r="J7" s="434"/>
      <c r="Q7" t="s">
        <v>699</v>
      </c>
    </row>
    <row r="8" spans="1:20" x14ac:dyDescent="0.65">
      <c r="A8" s="323">
        <v>2</v>
      </c>
      <c r="B8" s="10">
        <v>2661397</v>
      </c>
      <c r="C8" s="10">
        <f t="shared" ref="C8:C16" si="0">B8/1000</f>
        <v>2661.3969999999999</v>
      </c>
      <c r="D8" s="323">
        <f>'Tribal Measure Tool'!J$10</f>
        <v>0</v>
      </c>
      <c r="E8" s="5">
        <f>D8*$B$21*C8</f>
        <v>0</v>
      </c>
      <c r="F8" s="5">
        <f t="shared" ref="F8:F16" si="1">(C8*D8)-E8</f>
        <v>0</v>
      </c>
      <c r="G8" s="10">
        <f>F8*F$1*Factors!N$27</f>
        <v>0</v>
      </c>
      <c r="H8" s="10">
        <f>(E8*($F$1*(1+$P$1)))*Factors!N$27</f>
        <v>0</v>
      </c>
      <c r="I8" s="434">
        <f t="shared" ref="I8:I16" si="2">SUM(G8,H8)</f>
        <v>0</v>
      </c>
      <c r="M8" s="10"/>
      <c r="T8" t="s">
        <v>696</v>
      </c>
    </row>
    <row r="9" spans="1:20" x14ac:dyDescent="0.65">
      <c r="A9" s="323">
        <v>3</v>
      </c>
      <c r="B9" s="10">
        <v>3992070</v>
      </c>
      <c r="C9" s="10">
        <f t="shared" si="0"/>
        <v>3992.07</v>
      </c>
      <c r="D9" s="323">
        <f>'Tribal Measure Tool'!J$10</f>
        <v>0</v>
      </c>
      <c r="E9" s="5">
        <f t="shared" ref="E9:E16" si="3">D9*$B$21*C9</f>
        <v>0</v>
      </c>
      <c r="F9" s="5">
        <f t="shared" si="1"/>
        <v>0</v>
      </c>
      <c r="G9" s="10">
        <f>F9*F$1*Factors!N$27</f>
        <v>0</v>
      </c>
      <c r="H9" s="10">
        <f>(E9*($F$1*(1+$P$1)))*Factors!N$27</f>
        <v>0</v>
      </c>
      <c r="I9" s="434">
        <f t="shared" si="2"/>
        <v>0</v>
      </c>
      <c r="M9" s="10"/>
      <c r="Q9" t="s">
        <v>700</v>
      </c>
    </row>
    <row r="10" spans="1:20" x14ac:dyDescent="0.65">
      <c r="A10" s="323">
        <v>4</v>
      </c>
      <c r="B10" s="10">
        <v>5322740</v>
      </c>
      <c r="C10" s="10">
        <f t="shared" si="0"/>
        <v>5322.74</v>
      </c>
      <c r="D10" s="323">
        <f>'Tribal Measure Tool'!J$10</f>
        <v>0</v>
      </c>
      <c r="E10" s="5">
        <f t="shared" si="3"/>
        <v>0</v>
      </c>
      <c r="F10" s="5">
        <f t="shared" si="1"/>
        <v>0</v>
      </c>
      <c r="G10" s="10">
        <f>F10*F$1*Factors!N$27</f>
        <v>0</v>
      </c>
      <c r="H10" s="10">
        <f>(E10*($F$1*(1+$P$1)))*Factors!N$27</f>
        <v>0</v>
      </c>
      <c r="I10" s="434">
        <f t="shared" si="2"/>
        <v>0</v>
      </c>
      <c r="M10" s="10"/>
      <c r="T10" t="s">
        <v>697</v>
      </c>
    </row>
    <row r="11" spans="1:20" x14ac:dyDescent="0.65">
      <c r="A11" s="323">
        <v>5</v>
      </c>
      <c r="B11" s="10">
        <v>6653408</v>
      </c>
      <c r="C11" s="10">
        <f t="shared" si="0"/>
        <v>6653.4080000000004</v>
      </c>
      <c r="D11" s="323">
        <f>'Tribal Measure Tool'!J$10</f>
        <v>0</v>
      </c>
      <c r="E11" s="5">
        <f t="shared" si="3"/>
        <v>0</v>
      </c>
      <c r="F11" s="5">
        <f t="shared" si="1"/>
        <v>0</v>
      </c>
      <c r="G11" s="10">
        <f>F11*F$1*Factors!N$27</f>
        <v>0</v>
      </c>
      <c r="H11" s="10">
        <f>(E11*($F$1*(1+$P$1)))*Factors!N$27</f>
        <v>0</v>
      </c>
      <c r="I11" s="434">
        <f t="shared" si="2"/>
        <v>0</v>
      </c>
      <c r="M11" s="10"/>
      <c r="T11" t="s">
        <v>698</v>
      </c>
    </row>
    <row r="12" spans="1:20" x14ac:dyDescent="0.65">
      <c r="A12" s="323">
        <v>6</v>
      </c>
      <c r="B12" s="10">
        <v>7984076</v>
      </c>
      <c r="C12" s="10">
        <f t="shared" si="0"/>
        <v>7984.076</v>
      </c>
      <c r="D12" s="323">
        <f>'Tribal Measure Tool'!J$10</f>
        <v>0</v>
      </c>
      <c r="E12" s="5">
        <f t="shared" si="3"/>
        <v>0</v>
      </c>
      <c r="F12" s="5">
        <f t="shared" si="1"/>
        <v>0</v>
      </c>
      <c r="G12" s="10">
        <f>F12*F$1*Factors!N$27</f>
        <v>0</v>
      </c>
      <c r="H12" s="10">
        <f>(E12*($F$1*(1+$P$1)))*Factors!N$27</f>
        <v>0</v>
      </c>
      <c r="I12" s="434">
        <f t="shared" si="2"/>
        <v>0</v>
      </c>
      <c r="M12" s="10"/>
    </row>
    <row r="13" spans="1:20" x14ac:dyDescent="0.65">
      <c r="A13" s="323">
        <v>7</v>
      </c>
      <c r="B13" s="10">
        <v>9314740</v>
      </c>
      <c r="C13" s="10">
        <f t="shared" si="0"/>
        <v>9314.74</v>
      </c>
      <c r="D13" s="323">
        <f>'Tribal Measure Tool'!J$10</f>
        <v>0</v>
      </c>
      <c r="E13" s="5">
        <f t="shared" si="3"/>
        <v>0</v>
      </c>
      <c r="F13" s="5">
        <f t="shared" si="1"/>
        <v>0</v>
      </c>
      <c r="G13" s="10">
        <f>F13*F$1*Factors!N$27</f>
        <v>0</v>
      </c>
      <c r="H13" s="10">
        <f>(E13*($F$1*(1+$P$1)))*Factors!N$27</f>
        <v>0</v>
      </c>
      <c r="I13" s="434">
        <f>SUM(G13,H13)</f>
        <v>0</v>
      </c>
      <c r="M13" s="10"/>
    </row>
    <row r="14" spans="1:20" x14ac:dyDescent="0.65">
      <c r="A14" s="323">
        <v>8</v>
      </c>
      <c r="B14" s="10">
        <v>10645406</v>
      </c>
      <c r="C14" s="10">
        <f t="shared" si="0"/>
        <v>10645.406000000001</v>
      </c>
      <c r="D14" s="323">
        <f>'Tribal Measure Tool'!J$10</f>
        <v>0</v>
      </c>
      <c r="E14" s="5">
        <f t="shared" si="3"/>
        <v>0</v>
      </c>
      <c r="F14" s="5">
        <f t="shared" si="1"/>
        <v>0</v>
      </c>
      <c r="G14" s="10">
        <f>F14*F$1*Factors!N$27</f>
        <v>0</v>
      </c>
      <c r="H14" s="10">
        <f>(E14*($F$1*(1+$P$1)))*Factors!N$27</f>
        <v>0</v>
      </c>
      <c r="I14" s="434">
        <f t="shared" si="2"/>
        <v>0</v>
      </c>
      <c r="M14" s="10"/>
    </row>
    <row r="15" spans="1:20" x14ac:dyDescent="0.65">
      <c r="A15" s="323">
        <v>9</v>
      </c>
      <c r="B15" s="10">
        <v>11976070</v>
      </c>
      <c r="C15" s="10">
        <f t="shared" si="0"/>
        <v>11976.07</v>
      </c>
      <c r="D15" s="323">
        <f>'Tribal Measure Tool'!J$10</f>
        <v>0</v>
      </c>
      <c r="E15" s="5">
        <f t="shared" si="3"/>
        <v>0</v>
      </c>
      <c r="F15" s="5">
        <f t="shared" si="1"/>
        <v>0</v>
      </c>
      <c r="G15" s="10">
        <f>F15*F$1*Factors!N$27</f>
        <v>0</v>
      </c>
      <c r="H15" s="10">
        <f>(E15*($F$1*(1+$P$1)))*Factors!N$27</f>
        <v>0</v>
      </c>
      <c r="I15" s="434">
        <f t="shared" si="2"/>
        <v>0</v>
      </c>
      <c r="M15" s="10"/>
    </row>
    <row r="16" spans="1:20" x14ac:dyDescent="0.65">
      <c r="A16" s="323">
        <v>10</v>
      </c>
      <c r="B16" s="10">
        <v>13306733</v>
      </c>
      <c r="C16" s="10">
        <f t="shared" si="0"/>
        <v>13306.733</v>
      </c>
      <c r="D16" s="323">
        <f>'Tribal Measure Tool'!J$10</f>
        <v>0</v>
      </c>
      <c r="E16" s="5">
        <f t="shared" si="3"/>
        <v>0</v>
      </c>
      <c r="F16" s="5">
        <f t="shared" si="1"/>
        <v>0</v>
      </c>
      <c r="G16" s="10">
        <f>F16*F$1*Factors!N$27</f>
        <v>0</v>
      </c>
      <c r="H16" s="10">
        <f>(E16*($F$1*(1+$P$1)))*Factors!N$27</f>
        <v>0</v>
      </c>
      <c r="I16" s="434">
        <f t="shared" si="2"/>
        <v>0</v>
      </c>
    </row>
    <row r="17" spans="1:18" x14ac:dyDescent="0.65">
      <c r="A17" s="498">
        <v>10</v>
      </c>
      <c r="B17" s="535">
        <v>13306733</v>
      </c>
      <c r="C17" s="535">
        <f>B17/1000</f>
        <v>13306.733</v>
      </c>
      <c r="D17" s="498">
        <v>20</v>
      </c>
      <c r="E17" s="490">
        <f>D17*$B$21*C17</f>
        <v>133067.33000000002</v>
      </c>
      <c r="F17" s="536">
        <f>(C17*D17)-E17</f>
        <v>133067.33000000002</v>
      </c>
      <c r="G17" s="535">
        <f>F17*R$1*Factors!N$27</f>
        <v>71324.563189938126</v>
      </c>
      <c r="H17" s="535">
        <f>(E17*($R$1*(1+$T$1)))*Factors!N$27</f>
        <v>78877.281324921641</v>
      </c>
      <c r="I17" s="537">
        <f>SUM(G17,H17)</f>
        <v>150201.84451485978</v>
      </c>
    </row>
    <row r="19" spans="1:18" x14ac:dyDescent="0.65">
      <c r="B19" t="s">
        <v>694</v>
      </c>
    </row>
    <row r="20" spans="1:18" x14ac:dyDescent="0.65">
      <c r="B20">
        <v>4</v>
      </c>
      <c r="C20" t="s">
        <v>695</v>
      </c>
    </row>
    <row r="21" spans="1:18" x14ac:dyDescent="0.65">
      <c r="B21" s="20">
        <v>0.5</v>
      </c>
      <c r="C21" t="s">
        <v>916</v>
      </c>
    </row>
    <row r="22" spans="1:18" x14ac:dyDescent="0.65">
      <c r="C22" t="s">
        <v>917</v>
      </c>
    </row>
    <row r="23" spans="1:18" ht="21" x14ac:dyDescent="0.65">
      <c r="A23" s="467" t="s">
        <v>922</v>
      </c>
      <c r="B23" s="467"/>
      <c r="C23" s="467"/>
      <c r="D23" s="330"/>
      <c r="E23" s="330"/>
      <c r="F23" s="330"/>
      <c r="G23" s="330"/>
      <c r="H23" s="330"/>
      <c r="I23" s="330"/>
      <c r="J23" s="330"/>
      <c r="K23" s="330"/>
    </row>
    <row r="24" spans="1:18" ht="87" x14ac:dyDescent="0.7">
      <c r="A24" s="1" t="s">
        <v>506</v>
      </c>
      <c r="B24" s="16" t="s">
        <v>573</v>
      </c>
      <c r="C24" s="16" t="s">
        <v>574</v>
      </c>
      <c r="D24" s="1" t="s">
        <v>572</v>
      </c>
      <c r="E24" s="16" t="s">
        <v>810</v>
      </c>
      <c r="F24" s="16" t="s">
        <v>809</v>
      </c>
      <c r="G24" s="16" t="s">
        <v>757</v>
      </c>
      <c r="H24" s="16" t="s">
        <v>808</v>
      </c>
      <c r="I24" s="16" t="s">
        <v>758</v>
      </c>
      <c r="J24" s="16"/>
      <c r="K24" s="16"/>
      <c r="L24" s="16"/>
      <c r="R24" t="s">
        <v>701</v>
      </c>
    </row>
    <row r="25" spans="1:18" x14ac:dyDescent="0.65">
      <c r="A25" s="323">
        <v>50</v>
      </c>
      <c r="B25" s="561">
        <v>66425</v>
      </c>
      <c r="C25" s="10">
        <f t="shared" ref="C25:C30" si="4">B25/1000</f>
        <v>66.424999999999997</v>
      </c>
      <c r="D25" s="323">
        <f>'Tribal Measure Tool'!$J$11</f>
        <v>0</v>
      </c>
      <c r="E25" s="5">
        <f t="shared" ref="E25:E30" si="5">D25*$B$35*C25</f>
        <v>0</v>
      </c>
      <c r="F25" s="5">
        <f t="shared" ref="F25:F30" si="6">(C25*D25)-E25</f>
        <v>0</v>
      </c>
      <c r="G25" s="10">
        <f>F25*F$1*Factors!N$27</f>
        <v>0</v>
      </c>
      <c r="H25" s="10">
        <f>(E25*($F$1*(1+$P$1)))*Factors!N$27</f>
        <v>0</v>
      </c>
      <c r="I25" s="434">
        <f>SUM(G25,H25)</f>
        <v>0</v>
      </c>
      <c r="J25" s="159"/>
      <c r="K25" s="159"/>
      <c r="R25" t="s">
        <v>702</v>
      </c>
    </row>
    <row r="26" spans="1:18" x14ac:dyDescent="0.65">
      <c r="A26" s="323">
        <v>100</v>
      </c>
      <c r="B26" s="561">
        <v>132832</v>
      </c>
      <c r="C26" s="10">
        <f t="shared" si="4"/>
        <v>132.83199999999999</v>
      </c>
      <c r="D26" s="323">
        <f>'Tribal Measure Tool'!$J$11</f>
        <v>0</v>
      </c>
      <c r="E26" s="5">
        <f t="shared" si="5"/>
        <v>0</v>
      </c>
      <c r="F26" s="5">
        <f t="shared" si="6"/>
        <v>0</v>
      </c>
      <c r="G26" s="10">
        <f>F26*F$1*Factors!N$27</f>
        <v>0</v>
      </c>
      <c r="H26" s="10">
        <f>(E26*($F$1*(1+$P$1)))*Factors!N$27</f>
        <v>0</v>
      </c>
      <c r="I26" s="434">
        <f t="shared" ref="I26:I30" si="7">SUM(G26,H26)</f>
        <v>0</v>
      </c>
      <c r="J26" s="159"/>
      <c r="K26" s="159"/>
      <c r="P26" t="s">
        <v>705</v>
      </c>
      <c r="Q26" t="s">
        <v>704</v>
      </c>
      <c r="R26" t="s">
        <v>703</v>
      </c>
    </row>
    <row r="27" spans="1:18" x14ac:dyDescent="0.65">
      <c r="A27" s="323">
        <v>250</v>
      </c>
      <c r="B27" s="561">
        <v>331965</v>
      </c>
      <c r="C27" s="10">
        <f t="shared" si="4"/>
        <v>331.96499999999997</v>
      </c>
      <c r="D27" s="323">
        <f>'Tribal Measure Tool'!$J$11</f>
        <v>0</v>
      </c>
      <c r="E27" s="5">
        <f t="shared" si="5"/>
        <v>0</v>
      </c>
      <c r="F27" s="5">
        <f t="shared" si="6"/>
        <v>0</v>
      </c>
      <c r="G27" s="10">
        <f>F27*F$1*Factors!N$27</f>
        <v>0</v>
      </c>
      <c r="H27" s="10">
        <f>(E27*($F$1*(1+$P$1)))*Factors!N$27</f>
        <v>0</v>
      </c>
      <c r="I27" s="434">
        <f t="shared" si="7"/>
        <v>0</v>
      </c>
      <c r="J27" s="159"/>
      <c r="K27" s="159"/>
      <c r="Q27" t="s">
        <v>706</v>
      </c>
    </row>
    <row r="28" spans="1:18" x14ac:dyDescent="0.65">
      <c r="A28" s="323">
        <v>500</v>
      </c>
      <c r="B28" s="561">
        <v>663912</v>
      </c>
      <c r="C28" s="10">
        <f t="shared" si="4"/>
        <v>663.91200000000003</v>
      </c>
      <c r="D28" s="323">
        <f>'Tribal Measure Tool'!$J$11</f>
        <v>0</v>
      </c>
      <c r="E28" s="5">
        <f t="shared" si="5"/>
        <v>0</v>
      </c>
      <c r="F28" s="5">
        <f t="shared" si="6"/>
        <v>0</v>
      </c>
      <c r="G28" s="10">
        <f>F28*F$1*Factors!N$27</f>
        <v>0</v>
      </c>
      <c r="H28" s="10">
        <f>(E28*($F$1*(1+$P$1)))*Factors!N$27</f>
        <v>0</v>
      </c>
      <c r="I28" s="434">
        <f t="shared" si="7"/>
        <v>0</v>
      </c>
      <c r="J28" s="159"/>
      <c r="K28" s="159"/>
      <c r="Q28" t="s">
        <v>707</v>
      </c>
    </row>
    <row r="29" spans="1:18" x14ac:dyDescent="0.65">
      <c r="A29" s="323">
        <v>750</v>
      </c>
      <c r="B29" s="561">
        <v>995855</v>
      </c>
      <c r="C29" s="10">
        <f t="shared" si="4"/>
        <v>995.85500000000002</v>
      </c>
      <c r="D29" s="323">
        <f>'Tribal Measure Tool'!$J$11</f>
        <v>0</v>
      </c>
      <c r="E29" s="5">
        <f t="shared" si="5"/>
        <v>0</v>
      </c>
      <c r="F29" s="5">
        <f t="shared" si="6"/>
        <v>0</v>
      </c>
      <c r="G29" s="10">
        <f>F29*F$1*Factors!N$27</f>
        <v>0</v>
      </c>
      <c r="H29" s="10">
        <f>(E29*($F$1*(1+$P$1)))*Factors!N$27</f>
        <v>0</v>
      </c>
      <c r="I29" s="434">
        <f t="shared" si="7"/>
        <v>0</v>
      </c>
      <c r="J29" s="159"/>
      <c r="K29" s="159"/>
    </row>
    <row r="30" spans="1:18" x14ac:dyDescent="0.65">
      <c r="A30" s="323">
        <v>1000</v>
      </c>
      <c r="B30" s="561">
        <v>1327797</v>
      </c>
      <c r="C30" s="10">
        <f t="shared" si="4"/>
        <v>1327.797</v>
      </c>
      <c r="D30" s="323">
        <f>'Tribal Measure Tool'!$J$11</f>
        <v>0</v>
      </c>
      <c r="E30" s="5">
        <f t="shared" si="5"/>
        <v>0</v>
      </c>
      <c r="F30" s="5">
        <f t="shared" si="6"/>
        <v>0</v>
      </c>
      <c r="G30" s="10">
        <f>F30*F$1*Factors!N$27</f>
        <v>0</v>
      </c>
      <c r="H30" s="10">
        <f>(E30*($F$1*(1+$P$1)))*Factors!N$27</f>
        <v>0</v>
      </c>
      <c r="I30" s="434">
        <f t="shared" si="7"/>
        <v>0</v>
      </c>
      <c r="J30" s="159"/>
      <c r="K30" s="159"/>
      <c r="Q30" t="s">
        <v>708</v>
      </c>
    </row>
    <row r="31" spans="1:18" x14ac:dyDescent="0.65">
      <c r="A31" s="498">
        <v>1000</v>
      </c>
      <c r="B31" s="562">
        <v>1327797</v>
      </c>
      <c r="C31" s="562">
        <f>B31/1000</f>
        <v>1327.797</v>
      </c>
      <c r="D31" s="569">
        <v>40</v>
      </c>
      <c r="E31" s="536">
        <f>D31*$B$35*C31</f>
        <v>26555.940000000002</v>
      </c>
      <c r="F31" s="536">
        <f>(C31*D31)-E31</f>
        <v>26555.940000000002</v>
      </c>
      <c r="G31" s="535">
        <f>F31*R$1*Factors!N$27</f>
        <v>14234.078496939896</v>
      </c>
      <c r="H31" s="535">
        <f>(E31*($R$1*(1+$T$1)))*Factors!N$27</f>
        <v>15741.357027511858</v>
      </c>
      <c r="I31" s="537">
        <f>SUM(G31,H31)</f>
        <v>29975.435524451754</v>
      </c>
      <c r="J31" s="522"/>
      <c r="K31" s="159"/>
    </row>
    <row r="33" spans="2:3" x14ac:dyDescent="0.65">
      <c r="B33" t="s">
        <v>694</v>
      </c>
    </row>
    <row r="34" spans="2:3" x14ac:dyDescent="0.65">
      <c r="B34">
        <v>4</v>
      </c>
      <c r="C34" t="s">
        <v>695</v>
      </c>
    </row>
    <row r="35" spans="2:3" x14ac:dyDescent="0.65">
      <c r="B35" s="20">
        <v>0.5</v>
      </c>
      <c r="C35" t="s">
        <v>916</v>
      </c>
    </row>
    <row r="36" spans="2:3" x14ac:dyDescent="0.65">
      <c r="C36" t="s">
        <v>917</v>
      </c>
    </row>
  </sheetData>
  <mergeCells count="1">
    <mergeCell ref="A3:K3"/>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2A63B-838F-4CB8-812B-0464BC488FEF}">
  <sheetPr>
    <tabColor theme="8"/>
  </sheetPr>
  <dimension ref="A1:AF117"/>
  <sheetViews>
    <sheetView workbookViewId="0">
      <pane ySplit="1" topLeftCell="A2" activePane="bottomLeft" state="frozen"/>
      <selection activeCell="I14" sqref="I14"/>
      <selection pane="bottomLeft" activeCell="I14" sqref="I14"/>
    </sheetView>
  </sheetViews>
  <sheetFormatPr defaultRowHeight="14.25" x14ac:dyDescent="0.65"/>
  <cols>
    <col min="1" max="1" width="41.75" customWidth="1"/>
    <col min="2" max="2" width="29" bestFit="1" customWidth="1"/>
    <col min="3" max="3" width="16.875" bestFit="1" customWidth="1"/>
    <col min="4" max="4" width="15.375" customWidth="1"/>
    <col min="5" max="5" width="24.75" bestFit="1" customWidth="1"/>
    <col min="6" max="6" width="13.375" bestFit="1" customWidth="1"/>
    <col min="7" max="7" width="22.5" customWidth="1"/>
    <col min="8" max="8" width="19.875" customWidth="1"/>
    <col min="9" max="9" width="8.75" bestFit="1" customWidth="1"/>
    <col min="10" max="10" width="16.25" bestFit="1" customWidth="1"/>
    <col min="16383" max="16383" width="9" bestFit="1" customWidth="1"/>
    <col min="16384" max="16384" width="9" customWidth="1"/>
  </cols>
  <sheetData>
    <row r="1" spans="1:14" ht="22.9" customHeight="1" x14ac:dyDescent="1">
      <c r="A1" s="327" t="s">
        <v>499</v>
      </c>
      <c r="B1" s="327" t="str">
        <f>'Tribal Measure Tool'!H6</f>
        <v>Type Name Here</v>
      </c>
      <c r="D1" s="559" t="s">
        <v>504</v>
      </c>
      <c r="E1" s="327"/>
      <c r="F1" s="335">
        <f>'Tribal Measure Tool'!E5</f>
        <v>1216</v>
      </c>
      <c r="H1" t="s">
        <v>950</v>
      </c>
      <c r="I1" s="560">
        <v>1213</v>
      </c>
    </row>
    <row r="2" spans="1:14" s="59" customFormat="1" ht="18" customHeight="1" x14ac:dyDescent="0.65">
      <c r="A2" s="1584" t="s">
        <v>528</v>
      </c>
      <c r="B2" s="1584"/>
      <c r="C2" s="1584"/>
      <c r="D2" s="1584"/>
      <c r="E2" s="1584"/>
      <c r="F2" s="1584"/>
      <c r="G2" s="1584"/>
      <c r="H2" s="1584"/>
      <c r="K2" s="59" t="s">
        <v>966</v>
      </c>
      <c r="L2" s="59" t="s">
        <v>966</v>
      </c>
    </row>
    <row r="3" spans="1:14" s="316" customFormat="1" ht="18" customHeight="1" x14ac:dyDescent="0.65">
      <c r="A3" s="336">
        <v>1</v>
      </c>
      <c r="B3" s="336">
        <v>2</v>
      </c>
      <c r="C3" s="336">
        <v>3</v>
      </c>
      <c r="D3" s="336">
        <v>4</v>
      </c>
      <c r="E3" s="336">
        <v>5</v>
      </c>
      <c r="F3" s="336">
        <v>6</v>
      </c>
      <c r="G3" s="336">
        <v>7</v>
      </c>
      <c r="H3" s="336">
        <v>8</v>
      </c>
      <c r="K3" s="316" t="s">
        <v>964</v>
      </c>
      <c r="L3" s="316" t="s">
        <v>965</v>
      </c>
      <c r="M3" s="316" t="s">
        <v>968</v>
      </c>
      <c r="N3" s="316" t="s">
        <v>969</v>
      </c>
    </row>
    <row r="4" spans="1:14" s="1" customFormat="1" ht="29" x14ac:dyDescent="0.7">
      <c r="A4" s="1" t="s">
        <v>506</v>
      </c>
      <c r="B4" s="1" t="s">
        <v>492</v>
      </c>
      <c r="C4" s="1" t="s">
        <v>468</v>
      </c>
      <c r="D4" s="1" t="s">
        <v>493</v>
      </c>
      <c r="E4" s="1" t="s">
        <v>501</v>
      </c>
      <c r="F4" s="16" t="s">
        <v>502</v>
      </c>
      <c r="G4" s="16" t="s">
        <v>495</v>
      </c>
      <c r="H4" s="16"/>
      <c r="J4" s="323">
        <v>3</v>
      </c>
      <c r="K4" s="1">
        <v>3745</v>
      </c>
      <c r="L4" s="1">
        <v>3988</v>
      </c>
      <c r="M4" s="1">
        <f>AVERAGE(K4:L4)</f>
        <v>3866.5</v>
      </c>
      <c r="N4" s="1">
        <f>M4/1000</f>
        <v>3.8664999999999998</v>
      </c>
    </row>
    <row r="5" spans="1:14" ht="14.5" x14ac:dyDescent="0.7">
      <c r="A5" s="323">
        <v>3</v>
      </c>
      <c r="B5" s="159">
        <f>N4</f>
        <v>3.8664999999999998</v>
      </c>
      <c r="C5" s="323" t="e">
        <f>'Tribal Measure Tool'!#REF!</f>
        <v>#REF!</v>
      </c>
      <c r="D5" t="e">
        <f t="shared" ref="D5:D10" si="0">B5*C5</f>
        <v>#REF!</v>
      </c>
      <c r="E5" s="8" t="e">
        <f>D5*$F$1</f>
        <v>#REF!</v>
      </c>
      <c r="F5" s="8" t="e">
        <f>E5*Factors!$N$27</f>
        <v>#REF!</v>
      </c>
      <c r="G5" s="20" t="e">
        <f>F5/'Tribal Measure Tool'!#REF!</f>
        <v>#REF!</v>
      </c>
      <c r="J5" s="323">
        <v>4</v>
      </c>
      <c r="K5">
        <v>4993</v>
      </c>
      <c r="L5">
        <v>5317</v>
      </c>
      <c r="M5" s="1">
        <f>AVERAGE(K5:L5)</f>
        <v>5155</v>
      </c>
      <c r="N5" s="1">
        <f>M5/1000</f>
        <v>5.1550000000000002</v>
      </c>
    </row>
    <row r="6" spans="1:14" ht="14.5" x14ac:dyDescent="0.7">
      <c r="A6" s="323">
        <v>4</v>
      </c>
      <c r="B6" s="159">
        <f>N5</f>
        <v>5.1550000000000002</v>
      </c>
      <c r="C6" s="323" t="e">
        <f>'Tribal Measure Tool'!#REF!</f>
        <v>#REF!</v>
      </c>
      <c r="D6" t="e">
        <f t="shared" si="0"/>
        <v>#REF!</v>
      </c>
      <c r="E6" s="8" t="e">
        <f>D6*$F$1</f>
        <v>#REF!</v>
      </c>
      <c r="F6" s="8" t="e">
        <f>E6*Factors!$N$27</f>
        <v>#REF!</v>
      </c>
      <c r="G6" s="20" t="e">
        <f>F6/'Tribal Measure Tool'!#REF!</f>
        <v>#REF!</v>
      </c>
      <c r="J6" s="323">
        <v>5</v>
      </c>
      <c r="K6">
        <v>6241</v>
      </c>
      <c r="L6">
        <v>6646</v>
      </c>
      <c r="M6" s="1">
        <f>AVERAGE(K6:L6)</f>
        <v>6443.5</v>
      </c>
      <c r="N6" s="1">
        <f>M6/1000</f>
        <v>6.4435000000000002</v>
      </c>
    </row>
    <row r="7" spans="1:14" ht="14.5" x14ac:dyDescent="0.7">
      <c r="A7" s="323">
        <v>5</v>
      </c>
      <c r="B7" s="159">
        <f>N6</f>
        <v>6.4435000000000002</v>
      </c>
      <c r="C7" s="323" t="e">
        <f>'Tribal Measure Tool'!#REF!</f>
        <v>#REF!</v>
      </c>
      <c r="D7" t="e">
        <f t="shared" si="0"/>
        <v>#REF!</v>
      </c>
      <c r="E7" s="8" t="e">
        <f>D7*$F$1</f>
        <v>#REF!</v>
      </c>
      <c r="F7" s="8" t="e">
        <f>E7*Factors!$N$27</f>
        <v>#REF!</v>
      </c>
      <c r="G7" s="20" t="e">
        <f>F7/'Tribal Measure Tool'!#REF!</f>
        <v>#REF!</v>
      </c>
      <c r="J7" s="323">
        <v>6</v>
      </c>
      <c r="K7">
        <v>7489</v>
      </c>
      <c r="L7">
        <v>7974</v>
      </c>
      <c r="M7" s="1">
        <f>AVERAGE(K7:L7)</f>
        <v>7731.5</v>
      </c>
      <c r="N7" s="1">
        <f>M7/1000</f>
        <v>7.7314999999999996</v>
      </c>
    </row>
    <row r="8" spans="1:14" ht="14.5" x14ac:dyDescent="0.7">
      <c r="A8" s="323">
        <v>6</v>
      </c>
      <c r="B8" s="159">
        <f>N7</f>
        <v>7.7314999999999996</v>
      </c>
      <c r="C8" s="323" t="e">
        <f>'Tribal Measure Tool'!#REF!</f>
        <v>#REF!</v>
      </c>
      <c r="D8" t="e">
        <f t="shared" si="0"/>
        <v>#REF!</v>
      </c>
      <c r="E8" s="8" t="e">
        <f>D8*$F$1</f>
        <v>#REF!</v>
      </c>
      <c r="F8" s="8" t="e">
        <f>E8*Factors!$N$27</f>
        <v>#REF!</v>
      </c>
      <c r="G8" s="20" t="e">
        <f>F8/'Tribal Measure Tool'!#REF!</f>
        <v>#REF!</v>
      </c>
      <c r="J8" s="323">
        <v>7</v>
      </c>
      <c r="K8">
        <v>8737</v>
      </c>
      <c r="L8">
        <v>9303</v>
      </c>
      <c r="M8" s="1">
        <f>AVERAGE(K8:L8)</f>
        <v>9020</v>
      </c>
      <c r="N8" s="1">
        <f>M8/1000</f>
        <v>9.02</v>
      </c>
    </row>
    <row r="9" spans="1:14" x14ac:dyDescent="0.65">
      <c r="A9" s="323">
        <v>7</v>
      </c>
      <c r="B9" s="159">
        <f>N8</f>
        <v>9.02</v>
      </c>
      <c r="C9" s="323" t="e">
        <f>'Tribal Measure Tool'!#REF!</f>
        <v>#REF!</v>
      </c>
      <c r="D9" t="e">
        <f t="shared" si="0"/>
        <v>#REF!</v>
      </c>
      <c r="E9" s="8" t="e">
        <f>D9*$F$1</f>
        <v>#REF!</v>
      </c>
      <c r="F9" s="8" t="e">
        <f>E9*Factors!$N$27</f>
        <v>#REF!</v>
      </c>
      <c r="G9" s="20" t="e">
        <f>F9/'Tribal Measure Tool'!#REF!</f>
        <v>#REF!</v>
      </c>
    </row>
    <row r="10" spans="1:14" s="498" customFormat="1" x14ac:dyDescent="0.65">
      <c r="A10" s="498">
        <v>4</v>
      </c>
      <c r="B10" s="522">
        <f>N5</f>
        <v>5.1550000000000002</v>
      </c>
      <c r="C10" s="490" t="e">
        <f>'Summary PCAP Table'!N4</f>
        <v>#REF!</v>
      </c>
      <c r="D10" s="490" t="e">
        <f t="shared" si="0"/>
        <v>#REF!</v>
      </c>
      <c r="E10" s="490" t="e">
        <f>D10*I1</f>
        <v>#REF!</v>
      </c>
      <c r="F10" s="490" t="e">
        <f>E10*Factors!$N$27</f>
        <v>#REF!</v>
      </c>
      <c r="G10" s="497"/>
    </row>
    <row r="11" spans="1:14" s="59" customFormat="1" ht="21" x14ac:dyDescent="0.65">
      <c r="A11" s="331" t="s">
        <v>431</v>
      </c>
      <c r="B11" s="358"/>
      <c r="E11" s="359"/>
      <c r="F11" s="359"/>
      <c r="G11" s="360"/>
    </row>
    <row r="12" spans="1:14" ht="43.5" x14ac:dyDescent="0.7">
      <c r="A12" s="1" t="s">
        <v>506</v>
      </c>
      <c r="B12" s="1" t="s">
        <v>959</v>
      </c>
      <c r="C12" s="16" t="s">
        <v>637</v>
      </c>
      <c r="D12" s="1" t="s">
        <v>556</v>
      </c>
      <c r="E12" s="1" t="s">
        <v>493</v>
      </c>
      <c r="F12" s="1" t="s">
        <v>501</v>
      </c>
      <c r="G12" s="16" t="s">
        <v>502</v>
      </c>
      <c r="H12" s="16" t="s">
        <v>495</v>
      </c>
      <c r="K12" s="316" t="s">
        <v>964</v>
      </c>
      <c r="L12" s="316" t="s">
        <v>965</v>
      </c>
      <c r="M12" s="316" t="s">
        <v>968</v>
      </c>
      <c r="N12" s="316" t="s">
        <v>971</v>
      </c>
    </row>
    <row r="13" spans="1:14" x14ac:dyDescent="0.65">
      <c r="A13" s="323">
        <v>5</v>
      </c>
      <c r="B13" s="159">
        <f t="shared" ref="B13:B20" si="1">M13</f>
        <v>6443.5</v>
      </c>
      <c r="C13" s="159">
        <f t="shared" ref="C13:C21" si="2">B13/1000</f>
        <v>6.4435000000000002</v>
      </c>
      <c r="D13" s="323" t="e">
        <f>'Tribal Measure Tool'!#REF!</f>
        <v>#REF!</v>
      </c>
      <c r="E13" s="8" t="e">
        <f t="shared" ref="E13:E21" si="3">C13*D13</f>
        <v>#REF!</v>
      </c>
      <c r="F13" s="8" t="e">
        <f>E13*$F$1</f>
        <v>#REF!</v>
      </c>
      <c r="G13" s="8" t="e">
        <f>F13*Factors!$N$27</f>
        <v>#REF!</v>
      </c>
      <c r="H13" s="20" t="e">
        <f>G13/'Tribal Measure Tool'!#REF!</f>
        <v>#REF!</v>
      </c>
      <c r="J13" s="323">
        <v>5</v>
      </c>
      <c r="K13">
        <v>6241</v>
      </c>
      <c r="L13">
        <v>6646</v>
      </c>
      <c r="M13">
        <f t="shared" ref="M13:M20" si="4">AVERAGE(K13:L13)</f>
        <v>6443.5</v>
      </c>
      <c r="N13">
        <f t="shared" ref="N13:N20" si="5">M13/1000</f>
        <v>6.4435000000000002</v>
      </c>
    </row>
    <row r="14" spans="1:14" x14ac:dyDescent="0.65">
      <c r="A14" s="323">
        <v>10</v>
      </c>
      <c r="B14" s="159">
        <f t="shared" si="1"/>
        <v>12884.5</v>
      </c>
      <c r="C14" s="159">
        <f t="shared" si="2"/>
        <v>12.884499999999999</v>
      </c>
      <c r="D14" s="323" t="e">
        <f>'Tribal Measure Tool'!#REF!</f>
        <v>#REF!</v>
      </c>
      <c r="E14" s="8" t="e">
        <f t="shared" si="3"/>
        <v>#REF!</v>
      </c>
      <c r="F14" s="8" t="e">
        <f t="shared" ref="F14:F20" si="6">E14*$F$1</f>
        <v>#REF!</v>
      </c>
      <c r="G14" s="8" t="e">
        <f>F14*Factors!$N$27</f>
        <v>#REF!</v>
      </c>
      <c r="H14" s="20" t="e">
        <f>G14/'Tribal Measure Tool'!#REF!</f>
        <v>#REF!</v>
      </c>
      <c r="J14" s="323">
        <v>10</v>
      </c>
      <c r="K14">
        <v>12480</v>
      </c>
      <c r="L14">
        <v>13289</v>
      </c>
      <c r="M14">
        <f t="shared" si="4"/>
        <v>12884.5</v>
      </c>
      <c r="N14">
        <f t="shared" si="5"/>
        <v>12.884499999999999</v>
      </c>
    </row>
    <row r="15" spans="1:14" x14ac:dyDescent="0.65">
      <c r="A15" s="323">
        <v>15</v>
      </c>
      <c r="B15" s="159">
        <f t="shared" si="1"/>
        <v>19326.5</v>
      </c>
      <c r="C15" s="159">
        <f t="shared" si="2"/>
        <v>19.326499999999999</v>
      </c>
      <c r="D15" s="323" t="e">
        <f>'Tribal Measure Tool'!#REF!</f>
        <v>#REF!</v>
      </c>
      <c r="E15" s="8" t="e">
        <f t="shared" si="3"/>
        <v>#REF!</v>
      </c>
      <c r="F15" s="8" t="e">
        <f t="shared" si="6"/>
        <v>#REF!</v>
      </c>
      <c r="G15" s="8" t="e">
        <f>F15*Factors!$N$27</f>
        <v>#REF!</v>
      </c>
      <c r="H15" s="20" t="e">
        <f>G15/'Tribal Measure Tool'!#REF!</f>
        <v>#REF!</v>
      </c>
      <c r="J15" s="323">
        <v>15</v>
      </c>
      <c r="K15">
        <v>18720</v>
      </c>
      <c r="L15">
        <v>19933</v>
      </c>
      <c r="M15">
        <f t="shared" si="4"/>
        <v>19326.5</v>
      </c>
      <c r="N15">
        <f t="shared" si="5"/>
        <v>19.326499999999999</v>
      </c>
    </row>
    <row r="16" spans="1:14" x14ac:dyDescent="0.65">
      <c r="A16" s="323">
        <v>20</v>
      </c>
      <c r="B16" s="159">
        <f t="shared" si="1"/>
        <v>25767.5</v>
      </c>
      <c r="C16" s="159">
        <f t="shared" si="2"/>
        <v>25.767499999999998</v>
      </c>
      <c r="D16" s="323" t="e">
        <f>'Tribal Measure Tool'!#REF!</f>
        <v>#REF!</v>
      </c>
      <c r="E16" s="8" t="e">
        <f t="shared" si="3"/>
        <v>#REF!</v>
      </c>
      <c r="F16" s="8" t="e">
        <f t="shared" si="6"/>
        <v>#REF!</v>
      </c>
      <c r="G16" s="8" t="e">
        <f>F16*Factors!$N$27</f>
        <v>#REF!</v>
      </c>
      <c r="H16" s="20" t="e">
        <f>G16/'Tribal Measure Tool'!#REF!</f>
        <v>#REF!</v>
      </c>
      <c r="J16" s="323">
        <v>20</v>
      </c>
      <c r="K16">
        <v>24959</v>
      </c>
      <c r="L16">
        <v>26576</v>
      </c>
      <c r="M16">
        <f t="shared" si="4"/>
        <v>25767.5</v>
      </c>
      <c r="N16">
        <f t="shared" si="5"/>
        <v>25.767499999999998</v>
      </c>
    </row>
    <row r="17" spans="1:32" x14ac:dyDescent="0.65">
      <c r="A17" s="323">
        <v>25</v>
      </c>
      <c r="B17" s="159">
        <f t="shared" si="1"/>
        <v>32208</v>
      </c>
      <c r="C17" s="159">
        <f t="shared" si="2"/>
        <v>32.207999999999998</v>
      </c>
      <c r="D17" s="323" t="e">
        <f>'Tribal Measure Tool'!#REF!</f>
        <v>#REF!</v>
      </c>
      <c r="E17" s="8" t="e">
        <f t="shared" si="3"/>
        <v>#REF!</v>
      </c>
      <c r="F17" s="8" t="e">
        <f t="shared" si="6"/>
        <v>#REF!</v>
      </c>
      <c r="G17" s="8" t="e">
        <f>F17*Factors!$N$27</f>
        <v>#REF!</v>
      </c>
      <c r="H17" s="20" t="e">
        <f>G17/'Tribal Measure Tool'!#REF!</f>
        <v>#REF!</v>
      </c>
      <c r="J17" s="323">
        <v>25</v>
      </c>
      <c r="K17">
        <v>31197</v>
      </c>
      <c r="L17">
        <v>33219</v>
      </c>
      <c r="M17">
        <f t="shared" si="4"/>
        <v>32208</v>
      </c>
      <c r="N17">
        <f t="shared" si="5"/>
        <v>32.207999999999998</v>
      </c>
    </row>
    <row r="18" spans="1:32" s="498" customFormat="1" x14ac:dyDescent="0.65">
      <c r="A18" s="323">
        <v>30</v>
      </c>
      <c r="B18" s="159">
        <f t="shared" si="1"/>
        <v>38647</v>
      </c>
      <c r="C18" s="159">
        <f t="shared" si="2"/>
        <v>38.646999999999998</v>
      </c>
      <c r="D18" s="323" t="e">
        <f>'Tribal Measure Tool'!#REF!</f>
        <v>#REF!</v>
      </c>
      <c r="E18" s="8" t="e">
        <f t="shared" si="3"/>
        <v>#REF!</v>
      </c>
      <c r="F18" s="8" t="e">
        <f t="shared" si="6"/>
        <v>#REF!</v>
      </c>
      <c r="G18" s="8" t="e">
        <f>F18*Factors!$N$27</f>
        <v>#REF!</v>
      </c>
      <c r="H18" s="20" t="e">
        <f>G18/'Tribal Measure Tool'!#REF!</f>
        <v>#REF!</v>
      </c>
      <c r="I18"/>
      <c r="J18" s="323">
        <v>30</v>
      </c>
      <c r="K18">
        <v>37434</v>
      </c>
      <c r="L18">
        <v>39860</v>
      </c>
      <c r="M18">
        <f t="shared" si="4"/>
        <v>38647</v>
      </c>
      <c r="N18">
        <f t="shared" si="5"/>
        <v>38.646999999999998</v>
      </c>
      <c r="O18"/>
      <c r="P18"/>
      <c r="Q18"/>
      <c r="R18"/>
      <c r="S18"/>
      <c r="T18"/>
      <c r="U18"/>
      <c r="V18"/>
      <c r="W18"/>
      <c r="X18"/>
      <c r="Y18"/>
      <c r="Z18"/>
      <c r="AA18"/>
      <c r="AB18"/>
      <c r="AC18"/>
      <c r="AD18"/>
      <c r="AE18"/>
      <c r="AF18"/>
    </row>
    <row r="19" spans="1:32" s="59" customFormat="1" x14ac:dyDescent="0.65">
      <c r="A19" s="323">
        <v>35</v>
      </c>
      <c r="B19" s="159">
        <f t="shared" si="1"/>
        <v>45086.5</v>
      </c>
      <c r="C19" s="159">
        <f t="shared" si="2"/>
        <v>45.086500000000001</v>
      </c>
      <c r="D19" s="323" t="e">
        <f>'Tribal Measure Tool'!#REF!</f>
        <v>#REF!</v>
      </c>
      <c r="E19" s="8" t="e">
        <f t="shared" si="3"/>
        <v>#REF!</v>
      </c>
      <c r="F19" s="8" t="e">
        <f t="shared" si="6"/>
        <v>#REF!</v>
      </c>
      <c r="G19" s="8" t="e">
        <f>F19*Factors!$N$27</f>
        <v>#REF!</v>
      </c>
      <c r="H19" s="20" t="e">
        <f>G19/'Tribal Measure Tool'!#REF!</f>
        <v>#REF!</v>
      </c>
      <c r="I19"/>
      <c r="J19" s="323">
        <v>35</v>
      </c>
      <c r="K19">
        <v>43672</v>
      </c>
      <c r="L19">
        <v>46501</v>
      </c>
      <c r="M19">
        <f t="shared" si="4"/>
        <v>45086.5</v>
      </c>
      <c r="N19">
        <f t="shared" si="5"/>
        <v>45.086500000000001</v>
      </c>
      <c r="O19"/>
      <c r="P19"/>
      <c r="Q19"/>
      <c r="R19"/>
      <c r="S19"/>
      <c r="T19"/>
      <c r="U19"/>
      <c r="V19"/>
      <c r="W19"/>
      <c r="X19"/>
      <c r="Y19"/>
      <c r="Z19"/>
      <c r="AA19"/>
      <c r="AB19"/>
      <c r="AC19"/>
      <c r="AD19"/>
      <c r="AE19"/>
      <c r="AF19"/>
    </row>
    <row r="20" spans="1:32" x14ac:dyDescent="0.65">
      <c r="A20" s="323">
        <v>40</v>
      </c>
      <c r="B20" s="159">
        <f t="shared" si="1"/>
        <v>51526</v>
      </c>
      <c r="C20" s="159">
        <f t="shared" si="2"/>
        <v>51.526000000000003</v>
      </c>
      <c r="D20" s="323" t="e">
        <f>'Tribal Measure Tool'!#REF!</f>
        <v>#REF!</v>
      </c>
      <c r="E20" s="8" t="e">
        <f t="shared" si="3"/>
        <v>#REF!</v>
      </c>
      <c r="F20" s="8" t="e">
        <f t="shared" si="6"/>
        <v>#REF!</v>
      </c>
      <c r="G20" s="8" t="e">
        <f>F20*Factors!$N$27</f>
        <v>#REF!</v>
      </c>
      <c r="H20" s="20" t="e">
        <f>G20/'Tribal Measure Tool'!#REF!</f>
        <v>#REF!</v>
      </c>
      <c r="J20" s="323">
        <v>40</v>
      </c>
      <c r="K20">
        <v>49909</v>
      </c>
      <c r="L20">
        <v>53143</v>
      </c>
      <c r="M20">
        <f t="shared" si="4"/>
        <v>51526</v>
      </c>
      <c r="N20">
        <f t="shared" si="5"/>
        <v>51.526000000000003</v>
      </c>
    </row>
    <row r="21" spans="1:32" x14ac:dyDescent="0.65">
      <c r="A21" s="498">
        <v>50</v>
      </c>
      <c r="B21" s="522">
        <f>B33</f>
        <v>64404.5</v>
      </c>
      <c r="C21" s="522">
        <f t="shared" si="2"/>
        <v>64.404499999999999</v>
      </c>
      <c r="D21" s="490">
        <f>'Summary PCAP Table'!O7</f>
        <v>0</v>
      </c>
      <c r="E21" s="490">
        <f t="shared" si="3"/>
        <v>0</v>
      </c>
      <c r="F21" s="490">
        <f>E21*$I$1</f>
        <v>0</v>
      </c>
      <c r="G21" s="490">
        <f>F21*Factors!$N$27</f>
        <v>0</v>
      </c>
      <c r="H21" s="497" t="e">
        <f>G21/'Tribal Measure Tool'!#REF!</f>
        <v>#REF!</v>
      </c>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row>
    <row r="22" spans="1:32" ht="21" x14ac:dyDescent="0.65">
      <c r="A22" s="331" t="s">
        <v>432</v>
      </c>
      <c r="B22" s="358"/>
      <c r="C22" s="59"/>
      <c r="D22" s="359"/>
      <c r="E22" s="359"/>
      <c r="F22" s="359"/>
      <c r="G22" s="360"/>
      <c r="H22" s="59"/>
      <c r="I22" s="59"/>
      <c r="J22" s="59"/>
      <c r="K22" s="59"/>
      <c r="L22" s="59"/>
      <c r="M22" s="59"/>
      <c r="N22" s="59"/>
      <c r="O22" s="59"/>
      <c r="P22" s="59"/>
      <c r="Q22" s="59"/>
      <c r="R22" s="59"/>
      <c r="S22" s="59"/>
      <c r="T22" s="59"/>
      <c r="U22" s="59"/>
      <c r="V22" s="59"/>
      <c r="W22" s="59"/>
      <c r="X22" s="59"/>
      <c r="Y22" s="59"/>
      <c r="Z22" s="59"/>
      <c r="AA22" s="59"/>
      <c r="AB22" s="59"/>
      <c r="AC22" s="59"/>
      <c r="AD22" s="59"/>
      <c r="AE22" s="59"/>
    </row>
    <row r="23" spans="1:32" ht="43.5" x14ac:dyDescent="0.7">
      <c r="A23" s="1" t="s">
        <v>506</v>
      </c>
      <c r="B23" s="1" t="s">
        <v>959</v>
      </c>
      <c r="C23" s="16" t="s">
        <v>637</v>
      </c>
      <c r="D23" s="1" t="s">
        <v>556</v>
      </c>
      <c r="E23" s="1" t="s">
        <v>493</v>
      </c>
      <c r="F23" s="16" t="s">
        <v>501</v>
      </c>
      <c r="G23" s="16" t="s">
        <v>502</v>
      </c>
      <c r="H23" s="342"/>
      <c r="K23" s="316" t="s">
        <v>964</v>
      </c>
      <c r="L23" s="316" t="s">
        <v>965</v>
      </c>
      <c r="M23" t="s">
        <v>970</v>
      </c>
      <c r="N23" t="s">
        <v>969</v>
      </c>
    </row>
    <row r="24" spans="1:32" x14ac:dyDescent="0.65">
      <c r="A24" s="323">
        <v>5</v>
      </c>
      <c r="B24" s="159">
        <f t="shared" ref="B24:B33" si="7">M24</f>
        <v>6443.5</v>
      </c>
      <c r="C24" s="159">
        <f t="shared" ref="C24:C34" si="8">B24/1000</f>
        <v>6.4435000000000002</v>
      </c>
      <c r="D24" s="323" t="e">
        <f>'Tribal Measure Tool'!#REF!</f>
        <v>#REF!</v>
      </c>
      <c r="E24" s="8" t="e">
        <f>C24*D24</f>
        <v>#REF!</v>
      </c>
      <c r="F24" s="8" t="e">
        <f t="shared" ref="F24:F33" si="9">E24*$F$1</f>
        <v>#REF!</v>
      </c>
      <c r="G24" s="8" t="e">
        <f>F24*Factors!$N$27</f>
        <v>#REF!</v>
      </c>
      <c r="H24" s="20" t="e">
        <f>G24/'Tribal Measure Tool'!#REF!</f>
        <v>#REF!</v>
      </c>
      <c r="J24" s="323">
        <v>5</v>
      </c>
      <c r="K24">
        <v>6241</v>
      </c>
      <c r="L24">
        <v>6646</v>
      </c>
      <c r="M24">
        <f t="shared" ref="M24:M33" si="10">AVERAGE(K24:L24)</f>
        <v>6443.5</v>
      </c>
      <c r="N24">
        <f t="shared" ref="N24:N33" si="11">M24/1000</f>
        <v>6.4435000000000002</v>
      </c>
    </row>
    <row r="25" spans="1:32" x14ac:dyDescent="0.65">
      <c r="A25" s="323">
        <v>10</v>
      </c>
      <c r="B25" s="159">
        <f t="shared" si="7"/>
        <v>12884.5</v>
      </c>
      <c r="C25" s="159">
        <f t="shared" si="8"/>
        <v>12.884499999999999</v>
      </c>
      <c r="D25" s="323" t="e">
        <f>'Tribal Measure Tool'!#REF!</f>
        <v>#REF!</v>
      </c>
      <c r="E25" s="8" t="e">
        <f t="shared" ref="E25:E34" si="12">C25*D25</f>
        <v>#REF!</v>
      </c>
      <c r="F25" s="8" t="e">
        <f t="shared" si="9"/>
        <v>#REF!</v>
      </c>
      <c r="G25" s="8" t="e">
        <f>F25*Factors!$N$27</f>
        <v>#REF!</v>
      </c>
      <c r="H25" s="20" t="e">
        <f>G25/'Tribal Measure Tool'!#REF!</f>
        <v>#REF!</v>
      </c>
      <c r="J25" s="323">
        <v>10</v>
      </c>
      <c r="K25">
        <v>12480</v>
      </c>
      <c r="L25">
        <v>13289</v>
      </c>
      <c r="M25">
        <f t="shared" si="10"/>
        <v>12884.5</v>
      </c>
      <c r="N25">
        <f t="shared" si="11"/>
        <v>12.884499999999999</v>
      </c>
    </row>
    <row r="26" spans="1:32" s="498" customFormat="1" x14ac:dyDescent="0.65">
      <c r="A26" s="323">
        <v>15</v>
      </c>
      <c r="B26" s="159">
        <f t="shared" si="7"/>
        <v>19326.5</v>
      </c>
      <c r="C26" s="159">
        <f t="shared" si="8"/>
        <v>19.326499999999999</v>
      </c>
      <c r="D26" s="323" t="e">
        <f>'Tribal Measure Tool'!#REF!</f>
        <v>#REF!</v>
      </c>
      <c r="E26" s="8" t="e">
        <f t="shared" si="12"/>
        <v>#REF!</v>
      </c>
      <c r="F26" s="8" t="e">
        <f t="shared" si="9"/>
        <v>#REF!</v>
      </c>
      <c r="G26" s="8" t="e">
        <f>F26*Factors!$N$27</f>
        <v>#REF!</v>
      </c>
      <c r="H26" s="20" t="e">
        <f>G26/'Tribal Measure Tool'!#REF!</f>
        <v>#REF!</v>
      </c>
      <c r="I26"/>
      <c r="J26" s="323">
        <v>15</v>
      </c>
      <c r="K26">
        <v>18720</v>
      </c>
      <c r="L26">
        <v>19933</v>
      </c>
      <c r="M26">
        <f t="shared" si="10"/>
        <v>19326.5</v>
      </c>
      <c r="N26">
        <f t="shared" si="11"/>
        <v>19.326499999999999</v>
      </c>
      <c r="O26"/>
      <c r="P26"/>
      <c r="Q26"/>
      <c r="R26"/>
      <c r="S26"/>
      <c r="T26"/>
      <c r="U26"/>
      <c r="V26"/>
      <c r="W26"/>
      <c r="X26"/>
      <c r="Y26"/>
      <c r="Z26"/>
      <c r="AA26"/>
      <c r="AB26"/>
      <c r="AC26"/>
      <c r="AD26"/>
      <c r="AE26"/>
      <c r="AF26"/>
    </row>
    <row r="27" spans="1:32" s="59" customFormat="1" x14ac:dyDescent="0.65">
      <c r="A27" s="323">
        <v>20</v>
      </c>
      <c r="B27" s="159">
        <f t="shared" si="7"/>
        <v>25767.5</v>
      </c>
      <c r="C27" s="159">
        <f t="shared" si="8"/>
        <v>25.767499999999998</v>
      </c>
      <c r="D27" s="323" t="e">
        <f>'Tribal Measure Tool'!#REF!</f>
        <v>#REF!</v>
      </c>
      <c r="E27" s="8" t="e">
        <f t="shared" si="12"/>
        <v>#REF!</v>
      </c>
      <c r="F27" s="8" t="e">
        <f t="shared" si="9"/>
        <v>#REF!</v>
      </c>
      <c r="G27" s="8" t="e">
        <f>F27*Factors!$N$27</f>
        <v>#REF!</v>
      </c>
      <c r="H27" s="20" t="e">
        <f>G27/'Tribal Measure Tool'!#REF!</f>
        <v>#REF!</v>
      </c>
      <c r="I27"/>
      <c r="J27" s="323">
        <v>20</v>
      </c>
      <c r="K27">
        <v>24959</v>
      </c>
      <c r="L27">
        <v>26576</v>
      </c>
      <c r="M27">
        <f t="shared" si="10"/>
        <v>25767.5</v>
      </c>
      <c r="N27">
        <f t="shared" si="11"/>
        <v>25.767499999999998</v>
      </c>
      <c r="O27"/>
      <c r="P27"/>
      <c r="Q27"/>
      <c r="R27"/>
      <c r="S27"/>
      <c r="T27"/>
      <c r="U27"/>
      <c r="V27"/>
      <c r="W27"/>
      <c r="X27"/>
      <c r="Y27"/>
      <c r="Z27"/>
      <c r="AA27"/>
      <c r="AB27"/>
      <c r="AC27"/>
      <c r="AD27"/>
      <c r="AE27"/>
      <c r="AF27"/>
    </row>
    <row r="28" spans="1:32" x14ac:dyDescent="0.65">
      <c r="A28" s="323">
        <v>25</v>
      </c>
      <c r="B28" s="159">
        <f t="shared" si="7"/>
        <v>32208</v>
      </c>
      <c r="C28" s="159">
        <f t="shared" si="8"/>
        <v>32.207999999999998</v>
      </c>
      <c r="D28" s="323" t="e">
        <f>'Tribal Measure Tool'!#REF!</f>
        <v>#REF!</v>
      </c>
      <c r="E28" s="8" t="e">
        <f t="shared" si="12"/>
        <v>#REF!</v>
      </c>
      <c r="F28" s="8" t="e">
        <f t="shared" si="9"/>
        <v>#REF!</v>
      </c>
      <c r="G28" s="8" t="e">
        <f>F28*Factors!$N$27</f>
        <v>#REF!</v>
      </c>
      <c r="H28" s="20" t="e">
        <f>G28/'Tribal Measure Tool'!#REF!</f>
        <v>#REF!</v>
      </c>
      <c r="J28" s="323">
        <v>25</v>
      </c>
      <c r="K28">
        <v>31197</v>
      </c>
      <c r="L28">
        <v>33219</v>
      </c>
      <c r="M28">
        <f t="shared" si="10"/>
        <v>32208</v>
      </c>
      <c r="N28">
        <f t="shared" si="11"/>
        <v>32.207999999999998</v>
      </c>
    </row>
    <row r="29" spans="1:32" x14ac:dyDescent="0.65">
      <c r="A29" s="323">
        <v>30</v>
      </c>
      <c r="B29" s="159">
        <f t="shared" si="7"/>
        <v>38647</v>
      </c>
      <c r="C29" s="159">
        <f t="shared" si="8"/>
        <v>38.646999999999998</v>
      </c>
      <c r="D29" s="323" t="e">
        <f>'Tribal Measure Tool'!#REF!</f>
        <v>#REF!</v>
      </c>
      <c r="E29" s="8" t="e">
        <f t="shared" si="12"/>
        <v>#REF!</v>
      </c>
      <c r="F29" s="8" t="e">
        <f t="shared" si="9"/>
        <v>#REF!</v>
      </c>
      <c r="G29" s="8" t="e">
        <f>F29*Factors!$N$27</f>
        <v>#REF!</v>
      </c>
      <c r="H29" s="20" t="e">
        <f>G29/'Tribal Measure Tool'!#REF!</f>
        <v>#REF!</v>
      </c>
      <c r="J29" s="323">
        <v>30</v>
      </c>
      <c r="K29">
        <v>37434</v>
      </c>
      <c r="L29">
        <v>39860</v>
      </c>
      <c r="M29">
        <f t="shared" si="10"/>
        <v>38647</v>
      </c>
      <c r="N29">
        <f t="shared" si="11"/>
        <v>38.646999999999998</v>
      </c>
      <c r="W29" s="498"/>
      <c r="X29" s="498"/>
      <c r="Y29" s="498"/>
      <c r="Z29" s="498"/>
      <c r="AA29" s="498"/>
      <c r="AB29" s="498"/>
      <c r="AC29" s="498"/>
      <c r="AD29" s="498"/>
      <c r="AE29" s="498"/>
      <c r="AF29" s="498"/>
    </row>
    <row r="30" spans="1:32" s="498" customFormat="1" x14ac:dyDescent="0.65">
      <c r="A30" s="323">
        <v>35</v>
      </c>
      <c r="B30" s="159">
        <f t="shared" si="7"/>
        <v>45086.5</v>
      </c>
      <c r="C30" s="159">
        <f t="shared" si="8"/>
        <v>45.086500000000001</v>
      </c>
      <c r="D30" s="323" t="e">
        <f>'Tribal Measure Tool'!#REF!</f>
        <v>#REF!</v>
      </c>
      <c r="E30" s="8" t="e">
        <f t="shared" si="12"/>
        <v>#REF!</v>
      </c>
      <c r="F30" s="8" t="e">
        <f t="shared" si="9"/>
        <v>#REF!</v>
      </c>
      <c r="G30" s="8" t="e">
        <f>F30*Factors!$N$27</f>
        <v>#REF!</v>
      </c>
      <c r="H30" s="20" t="e">
        <f>G30/'Tribal Measure Tool'!#REF!</f>
        <v>#REF!</v>
      </c>
      <c r="I30"/>
      <c r="J30" s="323">
        <v>35</v>
      </c>
      <c r="K30">
        <v>43672</v>
      </c>
      <c r="L30">
        <v>46501</v>
      </c>
      <c r="M30">
        <f t="shared" si="10"/>
        <v>45086.5</v>
      </c>
      <c r="N30">
        <f t="shared" si="11"/>
        <v>45.086500000000001</v>
      </c>
      <c r="O30"/>
      <c r="P30"/>
      <c r="Q30"/>
      <c r="R30"/>
      <c r="S30"/>
      <c r="T30"/>
      <c r="U30"/>
      <c r="V30"/>
      <c r="W30" s="59"/>
      <c r="X30" s="59"/>
      <c r="Y30" s="59"/>
      <c r="Z30" s="59"/>
      <c r="AA30" s="59"/>
      <c r="AB30" s="59"/>
      <c r="AC30" s="59"/>
      <c r="AD30" s="59"/>
      <c r="AE30" s="59"/>
    </row>
    <row r="31" spans="1:32" s="59" customFormat="1" x14ac:dyDescent="0.65">
      <c r="A31" s="323">
        <v>40</v>
      </c>
      <c r="B31" s="159">
        <f t="shared" si="7"/>
        <v>51526</v>
      </c>
      <c r="C31" s="159">
        <f t="shared" si="8"/>
        <v>51.526000000000003</v>
      </c>
      <c r="D31" s="323" t="e">
        <f>'Tribal Measure Tool'!#REF!</f>
        <v>#REF!</v>
      </c>
      <c r="E31" s="8" t="e">
        <f t="shared" si="12"/>
        <v>#REF!</v>
      </c>
      <c r="F31" s="8" t="e">
        <f t="shared" si="9"/>
        <v>#REF!</v>
      </c>
      <c r="G31" s="8" t="e">
        <f>F31*Factors!$N$27</f>
        <v>#REF!</v>
      </c>
      <c r="H31" s="20" t="e">
        <f>G31/'Tribal Measure Tool'!#REF!</f>
        <v>#REF!</v>
      </c>
      <c r="I31"/>
      <c r="J31" s="323">
        <v>40</v>
      </c>
      <c r="K31">
        <v>49909</v>
      </c>
      <c r="L31">
        <v>53143</v>
      </c>
      <c r="M31">
        <f t="shared" si="10"/>
        <v>51526</v>
      </c>
      <c r="N31">
        <f t="shared" si="11"/>
        <v>51.526000000000003</v>
      </c>
      <c r="O31"/>
      <c r="P31"/>
      <c r="Q31"/>
      <c r="R31"/>
      <c r="S31"/>
      <c r="T31"/>
      <c r="U31"/>
      <c r="V31"/>
      <c r="W31"/>
      <c r="X31"/>
      <c r="Y31"/>
      <c r="Z31"/>
      <c r="AA31"/>
      <c r="AB31"/>
      <c r="AC31"/>
      <c r="AD31"/>
      <c r="AE31"/>
    </row>
    <row r="32" spans="1:32" s="1" customFormat="1" ht="14.5" x14ac:dyDescent="0.7">
      <c r="A32" s="323">
        <v>45</v>
      </c>
      <c r="B32" s="159">
        <f t="shared" si="7"/>
        <v>57965</v>
      </c>
      <c r="C32" s="159">
        <f t="shared" si="8"/>
        <v>57.965000000000003</v>
      </c>
      <c r="D32" s="323" t="e">
        <f>'Tribal Measure Tool'!#REF!</f>
        <v>#REF!</v>
      </c>
      <c r="E32" s="8" t="e">
        <f t="shared" si="12"/>
        <v>#REF!</v>
      </c>
      <c r="F32" s="8" t="e">
        <f t="shared" si="9"/>
        <v>#REF!</v>
      </c>
      <c r="G32" s="8" t="e">
        <f>F32*Factors!$N$27</f>
        <v>#REF!</v>
      </c>
      <c r="H32" s="20" t="e">
        <f>G32/'Tribal Measure Tool'!#REF!</f>
        <v>#REF!</v>
      </c>
      <c r="I32"/>
      <c r="J32" s="323">
        <v>45</v>
      </c>
      <c r="K32">
        <v>56146</v>
      </c>
      <c r="L32">
        <v>59784</v>
      </c>
      <c r="M32">
        <f t="shared" si="10"/>
        <v>57965</v>
      </c>
      <c r="N32">
        <f t="shared" si="11"/>
        <v>57.965000000000003</v>
      </c>
      <c r="O32"/>
      <c r="P32"/>
      <c r="Q32"/>
      <c r="R32"/>
      <c r="S32"/>
      <c r="T32"/>
      <c r="U32"/>
      <c r="V32"/>
      <c r="W32"/>
      <c r="X32"/>
      <c r="Y32"/>
      <c r="Z32"/>
      <c r="AA32"/>
      <c r="AB32"/>
      <c r="AC32"/>
      <c r="AD32"/>
      <c r="AE32"/>
    </row>
    <row r="33" spans="1:31" s="1" customFormat="1" ht="14.5" x14ac:dyDescent="0.7">
      <c r="A33" s="323">
        <v>50</v>
      </c>
      <c r="B33" s="159">
        <f t="shared" si="7"/>
        <v>64404.5</v>
      </c>
      <c r="C33" s="159">
        <f t="shared" si="8"/>
        <v>64.404499999999999</v>
      </c>
      <c r="D33" s="323" t="e">
        <f>'Tribal Measure Tool'!#REF!</f>
        <v>#REF!</v>
      </c>
      <c r="E33" s="8" t="e">
        <f t="shared" si="12"/>
        <v>#REF!</v>
      </c>
      <c r="F33" s="8" t="e">
        <f t="shared" si="9"/>
        <v>#REF!</v>
      </c>
      <c r="G33" s="8" t="e">
        <f>F33*Factors!$N$27</f>
        <v>#REF!</v>
      </c>
      <c r="H33" s="20" t="e">
        <f>G33/'Tribal Measure Tool'!#REF!</f>
        <v>#REF!</v>
      </c>
      <c r="I33"/>
      <c r="J33" s="323">
        <v>50</v>
      </c>
      <c r="K33">
        <v>62384</v>
      </c>
      <c r="L33">
        <v>66425</v>
      </c>
      <c r="M33">
        <f t="shared" si="10"/>
        <v>64404.5</v>
      </c>
      <c r="N33">
        <f t="shared" si="11"/>
        <v>64.404499999999999</v>
      </c>
      <c r="O33"/>
      <c r="P33"/>
      <c r="Q33"/>
      <c r="R33"/>
      <c r="S33"/>
      <c r="T33"/>
      <c r="U33"/>
      <c r="V33"/>
      <c r="W33" s="498"/>
      <c r="X33" s="498"/>
      <c r="Y33" s="498"/>
      <c r="Z33" s="498"/>
      <c r="AA33" s="498"/>
      <c r="AB33" s="498"/>
      <c r="AC33" s="498"/>
      <c r="AD33" s="498"/>
      <c r="AE33" s="498"/>
    </row>
    <row r="34" spans="1:31" s="489" customFormat="1" ht="14.5" x14ac:dyDescent="0.7">
      <c r="A34" s="498">
        <v>50</v>
      </c>
      <c r="B34" s="498">
        <f>M33</f>
        <v>64404.5</v>
      </c>
      <c r="C34" s="522">
        <f t="shared" si="8"/>
        <v>64.404499999999999</v>
      </c>
      <c r="D34" s="498" t="e">
        <f>'Summary PCAP Table'!Q10</f>
        <v>#REF!</v>
      </c>
      <c r="E34" s="490" t="e">
        <f t="shared" si="12"/>
        <v>#REF!</v>
      </c>
      <c r="F34" s="535" t="e">
        <f>E34*$I$1</f>
        <v>#REF!</v>
      </c>
      <c r="G34" s="490" t="e">
        <f>F34*Factors!$N$27</f>
        <v>#REF!</v>
      </c>
      <c r="H34" s="497"/>
      <c r="I34" s="498"/>
      <c r="J34" s="498"/>
      <c r="K34" s="498"/>
      <c r="L34" s="498"/>
      <c r="M34" s="498"/>
      <c r="N34" s="498"/>
      <c r="O34" s="498"/>
      <c r="P34" s="498"/>
      <c r="Q34" s="498"/>
      <c r="R34" s="498"/>
      <c r="S34" s="498"/>
      <c r="T34" s="498"/>
      <c r="U34" s="498"/>
      <c r="V34" s="498"/>
      <c r="W34" s="59"/>
      <c r="X34" s="59"/>
      <c r="Y34" s="59"/>
      <c r="Z34" s="59"/>
      <c r="AA34" s="59"/>
      <c r="AB34" s="59"/>
      <c r="AC34" s="59"/>
      <c r="AD34" s="59"/>
      <c r="AE34" s="59"/>
    </row>
    <row r="35" spans="1:31" s="59" customFormat="1" ht="21" x14ac:dyDescent="0.7">
      <c r="A35" s="331" t="s">
        <v>505</v>
      </c>
      <c r="W35" s="1"/>
      <c r="X35" s="1"/>
      <c r="Y35" s="1"/>
      <c r="Z35" s="1"/>
      <c r="AA35" s="1"/>
      <c r="AB35" s="1"/>
      <c r="AC35" s="1"/>
      <c r="AD35" s="1"/>
      <c r="AE35" s="1"/>
    </row>
    <row r="36" spans="1:31" s="1" customFormat="1" ht="29" x14ac:dyDescent="0.7">
      <c r="A36" s="1" t="s">
        <v>507</v>
      </c>
      <c r="B36" s="1" t="s">
        <v>508</v>
      </c>
      <c r="C36" s="1" t="s">
        <v>468</v>
      </c>
      <c r="D36" s="1" t="s">
        <v>493</v>
      </c>
      <c r="E36" s="1" t="s">
        <v>501</v>
      </c>
      <c r="F36" s="16" t="s">
        <v>502</v>
      </c>
      <c r="G36" s="16" t="s">
        <v>495</v>
      </c>
      <c r="J36"/>
      <c r="K36"/>
      <c r="L36"/>
      <c r="M36"/>
      <c r="N36"/>
      <c r="O36"/>
      <c r="P36"/>
      <c r="Q36"/>
      <c r="R36"/>
      <c r="S36"/>
      <c r="T36"/>
      <c r="U36"/>
      <c r="V36"/>
    </row>
    <row r="37" spans="1:31" s="1" customFormat="1" ht="14.5" x14ac:dyDescent="0.7">
      <c r="A37" s="323" t="e">
        <f>'Tribal Measure Tool'!#REF!</f>
        <v>#REF!</v>
      </c>
      <c r="B37" s="323" t="e">
        <f>(A37*0.4*8760)</f>
        <v>#REF!</v>
      </c>
      <c r="C37" s="323" t="e">
        <f>'Tribal Measure Tool'!#REF!</f>
        <v>#REF!</v>
      </c>
      <c r="D37" t="e">
        <f>B37*C37/1000</f>
        <v>#REF!</v>
      </c>
      <c r="E37" s="8" t="e">
        <f>D37*$F$1</f>
        <v>#REF!</v>
      </c>
      <c r="F37" s="8" t="e">
        <f>E37*Factors!$N$27</f>
        <v>#REF!</v>
      </c>
      <c r="G37" s="20" t="e">
        <f>F37/'Tribal Measure Tool'!#REF!</f>
        <v>#REF!</v>
      </c>
      <c r="H37"/>
      <c r="I37"/>
      <c r="J37"/>
      <c r="K37"/>
      <c r="L37"/>
      <c r="M37"/>
      <c r="N37"/>
      <c r="O37"/>
      <c r="P37"/>
      <c r="Q37"/>
      <c r="R37"/>
      <c r="S37"/>
      <c r="T37"/>
      <c r="U37"/>
      <c r="V37"/>
      <c r="W37" s="489"/>
      <c r="X37" s="489"/>
      <c r="Y37" s="489"/>
      <c r="Z37" s="489"/>
      <c r="AA37" s="489"/>
      <c r="AB37" s="489"/>
      <c r="AC37" s="489"/>
      <c r="AD37" s="489"/>
      <c r="AE37" s="489"/>
    </row>
    <row r="38" spans="1:31" s="489" customFormat="1" ht="14.5" x14ac:dyDescent="0.7">
      <c r="A38" s="498">
        <v>4</v>
      </c>
      <c r="B38" s="498">
        <f>(A38*0.4*8760)</f>
        <v>14016</v>
      </c>
      <c r="C38" s="490" t="e">
        <f>'Summary PCAP Table'!N5</f>
        <v>#REF!</v>
      </c>
      <c r="D38" s="498" t="e">
        <f>B38*C38/1000</f>
        <v>#REF!</v>
      </c>
      <c r="E38" s="490" t="e">
        <f>D38*I1</f>
        <v>#REF!</v>
      </c>
      <c r="F38" s="490" t="e">
        <f>E38*Factors!$N$27</f>
        <v>#REF!</v>
      </c>
      <c r="G38" s="497"/>
      <c r="H38" s="498"/>
      <c r="I38" s="498"/>
      <c r="J38" s="498"/>
      <c r="K38" s="498"/>
      <c r="L38" s="498"/>
      <c r="M38" s="498"/>
      <c r="N38" s="498"/>
      <c r="O38" s="498"/>
      <c r="P38" s="498"/>
      <c r="Q38" s="498"/>
      <c r="R38" s="498"/>
      <c r="S38" s="498"/>
      <c r="T38" s="498"/>
      <c r="U38" s="498"/>
      <c r="V38" s="498"/>
      <c r="W38" s="59"/>
      <c r="X38" s="59"/>
      <c r="Y38" s="59"/>
      <c r="Z38" s="59"/>
      <c r="AA38" s="59"/>
      <c r="AB38" s="59"/>
      <c r="AC38" s="59"/>
      <c r="AD38" s="59"/>
      <c r="AE38" s="59"/>
    </row>
    <row r="39" spans="1:31" s="59" customFormat="1" ht="21" x14ac:dyDescent="0.7">
      <c r="A39" s="331" t="s">
        <v>509</v>
      </c>
      <c r="W39" s="1"/>
      <c r="X39" s="1"/>
      <c r="Y39" s="1"/>
      <c r="Z39" s="1"/>
      <c r="AA39" s="1"/>
      <c r="AB39" s="1"/>
      <c r="AC39" s="1"/>
      <c r="AD39" s="1"/>
      <c r="AE39" s="1"/>
    </row>
    <row r="40" spans="1:31" s="1" customFormat="1" ht="29" x14ac:dyDescent="0.7">
      <c r="A40" s="1" t="s">
        <v>507</v>
      </c>
      <c r="B40" s="1" t="s">
        <v>1038</v>
      </c>
      <c r="C40" s="1" t="s">
        <v>468</v>
      </c>
      <c r="D40" s="1" t="s">
        <v>493</v>
      </c>
      <c r="E40" s="1" t="s">
        <v>501</v>
      </c>
      <c r="F40" s="16" t="s">
        <v>502</v>
      </c>
      <c r="G40" s="16" t="s">
        <v>495</v>
      </c>
    </row>
    <row r="41" spans="1:31" s="1" customFormat="1" ht="14.5" x14ac:dyDescent="0.7">
      <c r="A41" s="323" t="e">
        <f>'Tribal Measure Tool'!#REF!</f>
        <v>#REF!</v>
      </c>
      <c r="B41" s="323" t="e">
        <f>(A41*0.4*8760)</f>
        <v>#REF!</v>
      </c>
      <c r="C41" s="323" t="e">
        <f>'Tribal Measure Tool'!#REF!</f>
        <v>#REF!</v>
      </c>
      <c r="D41" t="e">
        <f>B41*C41/1000</f>
        <v>#REF!</v>
      </c>
      <c r="E41" s="8" t="e">
        <f>D41*$F$1</f>
        <v>#REF!</v>
      </c>
      <c r="F41" s="8" t="e">
        <f>E41*Factors!$N$27</f>
        <v>#REF!</v>
      </c>
      <c r="G41" s="20" t="e">
        <f>F41/'Tribal Measure Tool'!#REF!</f>
        <v>#REF!</v>
      </c>
      <c r="W41" s="489"/>
      <c r="X41" s="489"/>
      <c r="Y41" s="489"/>
      <c r="Z41" s="489"/>
      <c r="AA41" s="489"/>
      <c r="AB41" s="489"/>
      <c r="AC41" s="489"/>
      <c r="AD41" s="489"/>
      <c r="AE41" s="489"/>
    </row>
    <row r="42" spans="1:31" s="489" customFormat="1" ht="14.5" x14ac:dyDescent="0.7">
      <c r="A42" s="498">
        <v>50</v>
      </c>
      <c r="B42" s="498">
        <f>(A42*0.4*8760)</f>
        <v>175200</v>
      </c>
      <c r="C42" s="490">
        <f>'Summary PCAP Table'!O8</f>
        <v>0</v>
      </c>
      <c r="D42" s="498">
        <f>(B42*C42)/1000</f>
        <v>0</v>
      </c>
      <c r="E42" s="490">
        <f>D42*I1</f>
        <v>0</v>
      </c>
      <c r="F42" s="490">
        <f>E42*Factors!$N$27</f>
        <v>0</v>
      </c>
      <c r="G42" s="497"/>
      <c r="W42" s="59"/>
      <c r="X42" s="59"/>
      <c r="Y42" s="59"/>
      <c r="Z42" s="59"/>
      <c r="AA42" s="59"/>
      <c r="AB42" s="59"/>
      <c r="AC42" s="59"/>
      <c r="AD42" s="59"/>
      <c r="AE42" s="59"/>
    </row>
    <row r="43" spans="1:31" s="59" customFormat="1" ht="21" x14ac:dyDescent="0.7">
      <c r="A43" s="331" t="s">
        <v>527</v>
      </c>
      <c r="W43" s="1"/>
      <c r="X43" s="1"/>
      <c r="Y43" s="1"/>
      <c r="Z43" s="1"/>
      <c r="AA43" s="1"/>
      <c r="AB43" s="1"/>
      <c r="AC43" s="1"/>
      <c r="AD43" s="1"/>
      <c r="AE43" s="1"/>
    </row>
    <row r="44" spans="1:31" s="1" customFormat="1" ht="29" x14ac:dyDescent="0.7">
      <c r="A44" s="1" t="s">
        <v>507</v>
      </c>
      <c r="B44" s="1" t="s">
        <v>1038</v>
      </c>
      <c r="C44" s="1" t="s">
        <v>556</v>
      </c>
      <c r="D44" s="1" t="s">
        <v>493</v>
      </c>
      <c r="E44" s="1" t="s">
        <v>501</v>
      </c>
      <c r="F44" s="16" t="s">
        <v>502</v>
      </c>
      <c r="G44" s="16" t="s">
        <v>495</v>
      </c>
    </row>
    <row r="45" spans="1:31" s="1" customFormat="1" ht="14.5" x14ac:dyDescent="0.7">
      <c r="A45" s="323" t="e">
        <f>'Tribal Measure Tool'!#REF!</f>
        <v>#REF!</v>
      </c>
      <c r="B45" s="323" t="e">
        <f>A45*8760*0.4</f>
        <v>#REF!</v>
      </c>
      <c r="C45" s="323" t="e">
        <f>'Tribal Measure Tool'!#REF!</f>
        <v>#REF!</v>
      </c>
      <c r="D45" t="e">
        <f>B45*C45/1000</f>
        <v>#REF!</v>
      </c>
      <c r="E45" s="8" t="e">
        <f>D45*$F$1</f>
        <v>#REF!</v>
      </c>
      <c r="F45" s="8" t="e">
        <f>E45*Factors!$N$27</f>
        <v>#REF!</v>
      </c>
      <c r="G45" s="20" t="e">
        <f>F45/'Tribal Measure Tool'!#REF!</f>
        <v>#REF!</v>
      </c>
      <c r="W45" s="489"/>
      <c r="X45" s="489"/>
      <c r="Y45" s="489"/>
      <c r="Z45" s="489"/>
      <c r="AA45" s="489"/>
      <c r="AB45" s="489"/>
      <c r="AC45" s="489"/>
      <c r="AD45" s="489"/>
      <c r="AE45" s="489"/>
    </row>
    <row r="46" spans="1:31" s="489" customFormat="1" ht="14.5" x14ac:dyDescent="0.7">
      <c r="A46" s="489">
        <v>50</v>
      </c>
      <c r="B46" s="489">
        <f>A46*8760*0.4</f>
        <v>175200</v>
      </c>
      <c r="C46" s="493" t="e">
        <f>'Summary PCAP Table'!Q11</f>
        <v>#REF!</v>
      </c>
      <c r="D46" s="489" t="e">
        <f>(B46*C46)/1000</f>
        <v>#REF!</v>
      </c>
      <c r="E46" s="493" t="e">
        <f>D46*I1</f>
        <v>#REF!</v>
      </c>
      <c r="F46" s="493" t="e">
        <f>E46*Factors!$N$27</f>
        <v>#REF!</v>
      </c>
      <c r="G46" s="524"/>
      <c r="W46" s="348"/>
      <c r="X46" s="348"/>
      <c r="Y46" s="348"/>
      <c r="Z46" s="348"/>
      <c r="AA46" s="348"/>
      <c r="AB46" s="348"/>
      <c r="AC46" s="348"/>
      <c r="AD46" s="348"/>
      <c r="AE46" s="348"/>
    </row>
    <row r="47" spans="1:31" s="59" customFormat="1" ht="43.5" x14ac:dyDescent="0.7">
      <c r="A47" s="331" t="s">
        <v>456</v>
      </c>
      <c r="B47" s="361" t="s">
        <v>910</v>
      </c>
      <c r="C47" s="361" t="s">
        <v>564</v>
      </c>
      <c r="D47" s="361" t="s">
        <v>911</v>
      </c>
      <c r="E47" s="361" t="s">
        <v>502</v>
      </c>
      <c r="W47" s="1"/>
      <c r="X47" s="1"/>
      <c r="Y47" s="1"/>
      <c r="Z47" s="1"/>
      <c r="AA47" s="1"/>
      <c r="AB47" s="1"/>
      <c r="AC47" s="1"/>
      <c r="AD47" s="1"/>
      <c r="AE47" s="1"/>
    </row>
    <row r="48" spans="1:31" s="1" customFormat="1" ht="14.5" x14ac:dyDescent="0.7">
      <c r="A48" s="1" t="s">
        <v>619</v>
      </c>
    </row>
    <row r="49" spans="1:31" s="1" customFormat="1" ht="14.5" x14ac:dyDescent="0.7">
      <c r="A49" s="324">
        <f>'Tribal Measure Tool'!H13</f>
        <v>0</v>
      </c>
      <c r="B49" s="351">
        <f>IFERROR(VLOOKUP($B$1,'Tool Reference'!$A$5:$BG$5,10,FALSE)/VLOOKUP($B$1,'Tool Reference'!$A$11:$S$11,4,FALSE),0)</f>
        <v>0</v>
      </c>
      <c r="C49" s="4">
        <f>B49*A49</f>
        <v>0</v>
      </c>
      <c r="D49" s="17">
        <v>0.8</v>
      </c>
      <c r="E49" s="525">
        <f>D49*C49</f>
        <v>0</v>
      </c>
      <c r="W49" s="489"/>
      <c r="X49" s="489"/>
      <c r="Y49" s="489"/>
      <c r="Z49" s="489"/>
      <c r="AA49" s="489"/>
      <c r="AB49" s="489"/>
      <c r="AC49" s="489"/>
      <c r="AD49" s="489"/>
      <c r="AE49" s="489"/>
    </row>
    <row r="50" spans="1:31" s="489" customFormat="1" ht="14.5" x14ac:dyDescent="0.7">
      <c r="A50" s="493" t="e">
        <f>'Summary PCAP Table'!O9</f>
        <v>#REF!</v>
      </c>
      <c r="B50" s="493" t="e">
        <f>SUM('Tool Reference'!#REF!)/SUM('Tool Reference'!#REF!)</f>
        <v>#REF!</v>
      </c>
      <c r="C50" s="523" t="e">
        <f>B50*A50</f>
        <v>#REF!</v>
      </c>
      <c r="D50" s="524">
        <v>0.8</v>
      </c>
      <c r="E50" s="526" t="e">
        <f>D50*C50</f>
        <v>#REF!</v>
      </c>
      <c r="W50" s="59"/>
      <c r="X50" s="59"/>
      <c r="Y50" s="59"/>
      <c r="Z50" s="59"/>
      <c r="AA50" s="59"/>
      <c r="AB50" s="59"/>
      <c r="AC50" s="59"/>
      <c r="AD50" s="59"/>
      <c r="AE50" s="59"/>
    </row>
    <row r="51" spans="1:31" s="59" customFormat="1" ht="21" x14ac:dyDescent="0.7">
      <c r="A51" s="331" t="s">
        <v>457</v>
      </c>
      <c r="C51" s="362"/>
      <c r="D51" s="360"/>
      <c r="W51" s="1"/>
      <c r="X51" s="1"/>
      <c r="Y51" s="1"/>
      <c r="Z51" s="1"/>
      <c r="AA51" s="1"/>
      <c r="AB51" s="1"/>
      <c r="AC51" s="1"/>
      <c r="AD51" s="1"/>
      <c r="AE51" s="1"/>
    </row>
    <row r="52" spans="1:31" ht="14.5" x14ac:dyDescent="0.7">
      <c r="A52" s="1" t="s">
        <v>557</v>
      </c>
      <c r="B52" s="1"/>
      <c r="C52" s="4"/>
      <c r="D52" s="17"/>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ht="14.5" x14ac:dyDescent="0.7">
      <c r="A53" s="324">
        <f>'Tribal Measure Tool'!H14</f>
        <v>0</v>
      </c>
      <c r="B53" s="351" t="e">
        <f>VLOOKUP($B$1,'Tool Reference'!$A$5:$BG$5,12,FALSE)/VLOOKUP($B$1,'Tool Reference'!$A$11:$S$11,5,FALSE)</f>
        <v>#DIV/0!</v>
      </c>
      <c r="C53" s="4" t="e">
        <f>B53*A53</f>
        <v>#DIV/0!</v>
      </c>
      <c r="D53" s="17">
        <v>0.8</v>
      </c>
      <c r="E53" s="525" t="e">
        <f>D53*C53</f>
        <v>#DIV/0!</v>
      </c>
      <c r="F53" s="1"/>
      <c r="G53" s="1"/>
      <c r="H53" s="1"/>
      <c r="I53" s="1"/>
      <c r="J53" s="1"/>
      <c r="K53" s="1"/>
      <c r="L53" s="1"/>
      <c r="M53" s="1"/>
      <c r="N53" s="1"/>
      <c r="O53" s="1"/>
      <c r="P53" s="1"/>
      <c r="Q53" s="1"/>
      <c r="R53" s="1"/>
      <c r="S53" s="1"/>
      <c r="T53" s="1"/>
      <c r="U53" s="1"/>
      <c r="V53" s="1"/>
      <c r="W53" s="489"/>
      <c r="X53" s="489"/>
      <c r="Y53" s="489"/>
      <c r="Z53" s="489"/>
      <c r="AA53" s="489"/>
      <c r="AB53" s="489"/>
      <c r="AC53" s="489"/>
      <c r="AD53" s="489"/>
      <c r="AE53" s="489"/>
    </row>
    <row r="54" spans="1:31" ht="14.5" x14ac:dyDescent="0.7">
      <c r="A54" s="493" t="e">
        <f>'Summary PCAP Table'!Q12</f>
        <v>#REF!</v>
      </c>
      <c r="B54" s="493" t="e">
        <f>SUM('Tool Reference'!#REF!)/SUM('Tool Reference'!#REF!)</f>
        <v>#REF!</v>
      </c>
      <c r="C54" s="523" t="e">
        <f>B54*A54</f>
        <v>#REF!</v>
      </c>
      <c r="D54" s="524">
        <v>0.8</v>
      </c>
      <c r="E54" s="526" t="e">
        <f>D54*C54</f>
        <v>#REF!</v>
      </c>
      <c r="F54" s="489"/>
      <c r="G54" s="489"/>
      <c r="H54" s="489"/>
      <c r="I54" s="489"/>
      <c r="J54" s="489"/>
      <c r="K54" s="489"/>
      <c r="L54" s="489"/>
      <c r="M54" s="489"/>
      <c r="N54" s="489"/>
      <c r="O54" s="489"/>
      <c r="P54" s="489"/>
      <c r="Q54" s="489"/>
      <c r="R54" s="489"/>
      <c r="S54" s="489"/>
      <c r="T54" s="489"/>
      <c r="U54" s="489"/>
      <c r="V54" s="489"/>
      <c r="W54" s="59"/>
      <c r="X54" s="59"/>
      <c r="Y54" s="59"/>
      <c r="Z54" s="59"/>
      <c r="AA54" s="59"/>
      <c r="AB54" s="59"/>
      <c r="AC54" s="59"/>
      <c r="AD54" s="59"/>
      <c r="AE54" s="59"/>
    </row>
    <row r="55" spans="1:31" ht="21" x14ac:dyDescent="0.65">
      <c r="A55" s="331" t="s">
        <v>496</v>
      </c>
      <c r="B55" s="59"/>
      <c r="C55" s="362"/>
      <c r="D55" s="360"/>
      <c r="E55" s="59"/>
      <c r="F55" s="59"/>
      <c r="G55" s="59"/>
      <c r="H55" s="59"/>
      <c r="I55" s="59"/>
      <c r="J55" s="59"/>
      <c r="K55" s="59"/>
      <c r="L55" s="59"/>
      <c r="M55" s="59"/>
      <c r="N55" s="59"/>
      <c r="O55" s="59"/>
      <c r="P55" s="59"/>
      <c r="Q55" s="59"/>
      <c r="R55" s="59"/>
      <c r="S55" s="59"/>
      <c r="T55" s="59"/>
      <c r="U55" s="59"/>
      <c r="V55" s="59"/>
    </row>
    <row r="56" spans="1:31" ht="14.5" x14ac:dyDescent="0.7">
      <c r="A56" s="1" t="s">
        <v>620</v>
      </c>
      <c r="B56" s="1"/>
      <c r="C56" s="4"/>
      <c r="D56" s="17"/>
      <c r="E56" s="1"/>
      <c r="F56" s="1"/>
      <c r="G56" s="1"/>
      <c r="H56" s="1"/>
      <c r="I56" s="1"/>
      <c r="J56" s="1"/>
      <c r="K56" s="1"/>
      <c r="L56" s="1"/>
      <c r="M56" s="1"/>
      <c r="N56" s="1"/>
      <c r="O56" s="1"/>
      <c r="P56" s="1"/>
      <c r="Q56" s="1"/>
      <c r="R56" s="1"/>
      <c r="S56" s="1"/>
      <c r="T56" s="1"/>
      <c r="U56" s="1"/>
      <c r="V56" s="1"/>
    </row>
    <row r="57" spans="1:31" ht="14.5" x14ac:dyDescent="0.7">
      <c r="A57" s="324">
        <f>'Tribal Measure Tool'!H12</f>
        <v>0</v>
      </c>
      <c r="B57" s="1216">
        <f>IFERROR(VLOOKUP($B$1,'Tool Reference'!$A$5:$BG$5,8,FALSE)/VLOOKUP($B$1,'Tool Reference'!$A$11:$S$11,3,FALSE),0)</f>
        <v>0</v>
      </c>
      <c r="C57" s="4">
        <f>B57*A57</f>
        <v>0</v>
      </c>
      <c r="D57" s="17">
        <v>0.8</v>
      </c>
      <c r="E57" s="525">
        <f>D57*C57</f>
        <v>0</v>
      </c>
      <c r="F57" s="1"/>
      <c r="G57" s="1"/>
      <c r="H57" s="1"/>
      <c r="I57" s="1"/>
      <c r="J57" s="1"/>
      <c r="K57" s="1"/>
      <c r="L57" s="1"/>
      <c r="M57" s="1"/>
      <c r="N57" s="1"/>
      <c r="O57" s="1"/>
      <c r="P57" s="1"/>
      <c r="Q57" s="1"/>
      <c r="R57" s="1"/>
      <c r="S57" s="1"/>
      <c r="T57" s="1"/>
      <c r="U57" s="1"/>
      <c r="V57" s="1"/>
    </row>
    <row r="58" spans="1:31" s="59" customFormat="1" ht="14.5" x14ac:dyDescent="0.7">
      <c r="A58" s="493" t="e">
        <f>'Summary PCAP Table'!N6</f>
        <v>#REF!</v>
      </c>
      <c r="B58" s="493" t="e">
        <f>SUM('Tool Reference'!#REF!)/SUM('Tool Reference'!#REF!)</f>
        <v>#REF!</v>
      </c>
      <c r="C58" s="523" t="e">
        <f>B58*A58</f>
        <v>#REF!</v>
      </c>
      <c r="D58" s="524">
        <v>0.8</v>
      </c>
      <c r="E58" s="526" t="e">
        <f>D58*C58</f>
        <v>#REF!</v>
      </c>
      <c r="F58" s="489"/>
      <c r="G58" s="489"/>
      <c r="H58" s="489"/>
      <c r="I58" s="489"/>
      <c r="J58" s="489"/>
      <c r="K58" s="489"/>
      <c r="L58" s="489"/>
      <c r="M58" s="489"/>
      <c r="N58" s="489"/>
      <c r="O58" s="489"/>
      <c r="P58" s="489"/>
      <c r="Q58" s="489"/>
      <c r="R58" s="489"/>
      <c r="S58" s="489"/>
      <c r="T58" s="489"/>
      <c r="U58" s="489"/>
      <c r="V58" s="489"/>
      <c r="W58"/>
      <c r="X58"/>
      <c r="Y58"/>
      <c r="Z58"/>
      <c r="AA58"/>
      <c r="AB58"/>
      <c r="AC58"/>
      <c r="AD58"/>
      <c r="AE58"/>
    </row>
    <row r="59" spans="1:31" ht="21" x14ac:dyDescent="0.65">
      <c r="A59" s="331" t="s">
        <v>928</v>
      </c>
      <c r="B59" s="59"/>
      <c r="C59" s="59"/>
      <c r="D59" s="59"/>
      <c r="E59" s="59"/>
      <c r="F59" s="59"/>
      <c r="G59" s="59"/>
      <c r="H59" s="59"/>
      <c r="I59" s="59"/>
      <c r="J59" s="59"/>
      <c r="K59" s="59"/>
      <c r="L59" s="59"/>
      <c r="M59" s="59"/>
      <c r="N59" s="59"/>
      <c r="O59" s="59"/>
      <c r="P59" s="59"/>
      <c r="Q59" s="59"/>
      <c r="R59" s="59"/>
      <c r="S59" s="59"/>
      <c r="T59" s="59"/>
      <c r="U59" s="59"/>
      <c r="V59" s="59"/>
    </row>
    <row r="60" spans="1:31" ht="43.5" x14ac:dyDescent="0.7">
      <c r="A60" s="1" t="s">
        <v>925</v>
      </c>
      <c r="B60" s="1" t="s">
        <v>638</v>
      </c>
      <c r="C60" s="1" t="s">
        <v>849</v>
      </c>
      <c r="D60" s="16" t="s">
        <v>633</v>
      </c>
      <c r="E60" s="16" t="s">
        <v>630</v>
      </c>
      <c r="F60" s="1" t="s">
        <v>493</v>
      </c>
      <c r="G60" s="1" t="s">
        <v>501</v>
      </c>
      <c r="H60" s="16" t="s">
        <v>502</v>
      </c>
      <c r="I60" s="16"/>
      <c r="J60" s="1"/>
      <c r="K60" s="1"/>
    </row>
    <row r="61" spans="1:31" ht="15.25" thickBot="1" x14ac:dyDescent="0.85">
      <c r="A61" s="323">
        <f>'Tribal Measure Tool'!H15</f>
        <v>0</v>
      </c>
      <c r="B61">
        <v>8760</v>
      </c>
      <c r="C61" s="439">
        <v>0.4</v>
      </c>
      <c r="D61">
        <f t="shared" ref="D61:D71" si="13">A61*B61*C61</f>
        <v>0</v>
      </c>
      <c r="E61" s="323">
        <f>'Tribal Measure Tool'!J$15</f>
        <v>0</v>
      </c>
      <c r="F61">
        <f t="shared" ref="F61:F71" si="14">D61*E61</f>
        <v>0</v>
      </c>
      <c r="G61" s="8">
        <f t="shared" ref="G61:G70" si="15">F61*$F$1</f>
        <v>0</v>
      </c>
      <c r="H61" s="554">
        <f>G61*Factors!$N$27</f>
        <v>0</v>
      </c>
      <c r="I61" s="16"/>
      <c r="J61" s="1"/>
      <c r="K61" s="1"/>
      <c r="AD61" s="59"/>
      <c r="AE61" s="59"/>
    </row>
    <row r="62" spans="1:31" x14ac:dyDescent="0.65">
      <c r="A62" s="547">
        <v>0.5</v>
      </c>
      <c r="B62">
        <v>8760</v>
      </c>
      <c r="C62" s="439">
        <v>0.4</v>
      </c>
      <c r="D62">
        <f t="shared" si="13"/>
        <v>1752</v>
      </c>
      <c r="E62" s="323">
        <f>'Tribal Measure Tool'!J$15</f>
        <v>0</v>
      </c>
      <c r="F62">
        <f t="shared" si="14"/>
        <v>0</v>
      </c>
      <c r="G62" s="8">
        <f t="shared" si="15"/>
        <v>0</v>
      </c>
      <c r="H62" s="8">
        <f>G62*Factors!$N$27</f>
        <v>0</v>
      </c>
      <c r="I62" s="20"/>
      <c r="W62" s="59"/>
      <c r="X62" s="59"/>
      <c r="Y62" s="59"/>
      <c r="Z62" s="59"/>
      <c r="AA62" s="59"/>
      <c r="AB62" s="59"/>
      <c r="AC62" s="59"/>
    </row>
    <row r="63" spans="1:31" s="498" customFormat="1" x14ac:dyDescent="0.65">
      <c r="A63" s="548">
        <v>1</v>
      </c>
      <c r="B63">
        <v>8760</v>
      </c>
      <c r="C63" s="439">
        <v>0.4</v>
      </c>
      <c r="D63">
        <f>A63*B63*C63</f>
        <v>3504</v>
      </c>
      <c r="E63" s="323">
        <f>'Tribal Measure Tool'!J$15</f>
        <v>0</v>
      </c>
      <c r="F63">
        <f t="shared" si="14"/>
        <v>0</v>
      </c>
      <c r="G63" s="8">
        <f t="shared" si="15"/>
        <v>0</v>
      </c>
      <c r="H63" s="8">
        <f>G63*Factors!$N$27</f>
        <v>0</v>
      </c>
      <c r="I63" s="20"/>
      <c r="J63"/>
      <c r="K63"/>
      <c r="L63"/>
      <c r="M63"/>
      <c r="N63"/>
      <c r="O63"/>
      <c r="P63"/>
      <c r="Q63"/>
      <c r="R63"/>
      <c r="S63"/>
      <c r="T63"/>
      <c r="U63"/>
      <c r="V63"/>
      <c r="W63"/>
      <c r="X63"/>
      <c r="Y63"/>
      <c r="Z63"/>
      <c r="AA63"/>
      <c r="AB63"/>
      <c r="AC63"/>
      <c r="AD63"/>
      <c r="AE63"/>
    </row>
    <row r="64" spans="1:31" s="59" customFormat="1" ht="14.5" x14ac:dyDescent="0.7">
      <c r="A64" s="548">
        <v>2</v>
      </c>
      <c r="B64">
        <v>8760</v>
      </c>
      <c r="C64" s="439">
        <v>0.4</v>
      </c>
      <c r="D64">
        <f t="shared" si="13"/>
        <v>7008</v>
      </c>
      <c r="E64" s="323">
        <f>'Tribal Measure Tool'!J$15</f>
        <v>0</v>
      </c>
      <c r="F64">
        <f t="shared" si="14"/>
        <v>0</v>
      </c>
      <c r="G64" s="8">
        <f t="shared" si="15"/>
        <v>0</v>
      </c>
      <c r="H64" s="8">
        <f>G64*Factors!$N$27</f>
        <v>0</v>
      </c>
      <c r="I64" s="20"/>
      <c r="J64" s="1"/>
      <c r="K64" s="1"/>
      <c r="L64" s="1"/>
      <c r="M64" s="1"/>
      <c r="N64"/>
      <c r="O64"/>
      <c r="P64"/>
      <c r="Q64"/>
      <c r="R64"/>
      <c r="S64"/>
      <c r="T64"/>
      <c r="U64"/>
      <c r="V64"/>
      <c r="W64"/>
      <c r="X64"/>
      <c r="Y64"/>
      <c r="Z64"/>
      <c r="AA64"/>
      <c r="AB64"/>
      <c r="AC64"/>
      <c r="AD64"/>
      <c r="AE64"/>
    </row>
    <row r="65" spans="1:31" ht="14.5" x14ac:dyDescent="0.7">
      <c r="A65" s="548">
        <v>3</v>
      </c>
      <c r="B65">
        <v>8760</v>
      </c>
      <c r="C65" s="439">
        <v>0.4</v>
      </c>
      <c r="D65">
        <f t="shared" si="13"/>
        <v>10512</v>
      </c>
      <c r="E65" s="323">
        <f>'Tribal Measure Tool'!J$15</f>
        <v>0</v>
      </c>
      <c r="F65">
        <f t="shared" si="14"/>
        <v>0</v>
      </c>
      <c r="G65" s="8">
        <f t="shared" si="15"/>
        <v>0</v>
      </c>
      <c r="H65" s="8">
        <f>G65*Factors!$N$27</f>
        <v>0</v>
      </c>
      <c r="I65" s="20"/>
      <c r="J65" s="1"/>
      <c r="K65" s="1"/>
      <c r="L65" s="1"/>
      <c r="M65" s="1"/>
    </row>
    <row r="66" spans="1:31" ht="14.5" x14ac:dyDescent="0.7">
      <c r="A66" s="548">
        <v>4</v>
      </c>
      <c r="B66">
        <v>8760</v>
      </c>
      <c r="C66" s="439">
        <v>0.4</v>
      </c>
      <c r="D66">
        <f t="shared" si="13"/>
        <v>14016</v>
      </c>
      <c r="E66" s="323">
        <f>'Tribal Measure Tool'!J$15</f>
        <v>0</v>
      </c>
      <c r="F66">
        <f t="shared" si="14"/>
        <v>0</v>
      </c>
      <c r="G66" s="8">
        <f t="shared" si="15"/>
        <v>0</v>
      </c>
      <c r="H66" s="8">
        <f>G66*Factors!$N$27</f>
        <v>0</v>
      </c>
      <c r="I66" s="20"/>
      <c r="J66" s="1"/>
      <c r="K66" s="1"/>
      <c r="L66" s="1"/>
      <c r="M66" s="1"/>
      <c r="W66" s="498"/>
      <c r="X66" s="498"/>
      <c r="Y66" s="498"/>
      <c r="Z66" s="498"/>
      <c r="AA66" s="498"/>
      <c r="AB66" s="498"/>
      <c r="AC66" s="498"/>
      <c r="AD66" s="498"/>
      <c r="AE66" s="498"/>
    </row>
    <row r="67" spans="1:31" ht="14.5" x14ac:dyDescent="0.7">
      <c r="A67" s="548">
        <v>5</v>
      </c>
      <c r="B67">
        <v>8760</v>
      </c>
      <c r="C67" s="439">
        <v>0.4</v>
      </c>
      <c r="D67">
        <f t="shared" si="13"/>
        <v>17520</v>
      </c>
      <c r="E67" s="323">
        <f>'Tribal Measure Tool'!J$15</f>
        <v>0</v>
      </c>
      <c r="F67">
        <f t="shared" si="14"/>
        <v>0</v>
      </c>
      <c r="G67" s="8">
        <f t="shared" si="15"/>
        <v>0</v>
      </c>
      <c r="H67" s="8">
        <f>G67*Factors!$N$27</f>
        <v>0</v>
      </c>
      <c r="I67" s="20"/>
      <c r="J67" s="1"/>
      <c r="K67" s="1"/>
      <c r="L67" s="1"/>
      <c r="M67" s="1"/>
      <c r="O67" s="59"/>
      <c r="P67" s="59"/>
      <c r="Q67" s="59"/>
      <c r="R67" s="59"/>
      <c r="S67" s="59"/>
      <c r="T67" s="59"/>
      <c r="U67" s="59"/>
      <c r="V67" s="59"/>
      <c r="W67" s="59"/>
      <c r="X67" s="59"/>
      <c r="Y67" s="59"/>
      <c r="Z67" s="59"/>
      <c r="AA67" s="59"/>
      <c r="AB67" s="59"/>
      <c r="AC67" s="59"/>
      <c r="AD67" s="59"/>
      <c r="AE67" s="59"/>
    </row>
    <row r="68" spans="1:31" ht="14.5" x14ac:dyDescent="0.7">
      <c r="A68" s="548">
        <v>10</v>
      </c>
      <c r="B68">
        <v>8760</v>
      </c>
      <c r="C68" s="439">
        <v>0.4</v>
      </c>
      <c r="D68">
        <f t="shared" si="13"/>
        <v>35040</v>
      </c>
      <c r="E68" s="323">
        <f>'Tribal Measure Tool'!J$15</f>
        <v>0</v>
      </c>
      <c r="F68">
        <f t="shared" si="14"/>
        <v>0</v>
      </c>
      <c r="G68" s="8">
        <f t="shared" si="15"/>
        <v>0</v>
      </c>
      <c r="H68" s="8">
        <f>G68*Factors!$N$27</f>
        <v>0</v>
      </c>
      <c r="I68" s="20"/>
      <c r="J68" s="1"/>
      <c r="K68" s="1"/>
      <c r="L68" s="1"/>
      <c r="M68" s="1"/>
    </row>
    <row r="69" spans="1:31" s="498" customFormat="1" ht="14.5" x14ac:dyDescent="0.7">
      <c r="A69" s="548">
        <v>15</v>
      </c>
      <c r="B69">
        <v>8760</v>
      </c>
      <c r="C69" s="439">
        <v>0.4</v>
      </c>
      <c r="D69">
        <f t="shared" si="13"/>
        <v>52560</v>
      </c>
      <c r="E69" s="323">
        <f>'Tribal Measure Tool'!J$15</f>
        <v>0</v>
      </c>
      <c r="F69">
        <f t="shared" si="14"/>
        <v>0</v>
      </c>
      <c r="G69" s="8">
        <f t="shared" si="15"/>
        <v>0</v>
      </c>
      <c r="H69" s="8">
        <f>G69*Factors!$N$27</f>
        <v>0</v>
      </c>
      <c r="I69" s="20"/>
      <c r="J69" s="1"/>
      <c r="K69" s="1"/>
      <c r="L69" s="1"/>
      <c r="M69" s="1"/>
      <c r="N69"/>
      <c r="O69"/>
      <c r="P69"/>
      <c r="Q69"/>
      <c r="R69"/>
      <c r="S69"/>
      <c r="T69"/>
      <c r="U69"/>
      <c r="V69"/>
      <c r="W69"/>
      <c r="X69"/>
      <c r="Y69"/>
      <c r="Z69"/>
      <c r="AA69"/>
      <c r="AB69"/>
      <c r="AC69"/>
      <c r="AD69"/>
      <c r="AE69"/>
    </row>
    <row r="70" spans="1:31" ht="15.25" thickBot="1" x14ac:dyDescent="0.85">
      <c r="A70" s="549">
        <v>20</v>
      </c>
      <c r="B70">
        <v>8760</v>
      </c>
      <c r="C70" s="439">
        <v>0.4</v>
      </c>
      <c r="D70">
        <f t="shared" si="13"/>
        <v>70080</v>
      </c>
      <c r="E70" s="323">
        <f>'Tribal Measure Tool'!J$15</f>
        <v>0</v>
      </c>
      <c r="F70">
        <f t="shared" si="14"/>
        <v>0</v>
      </c>
      <c r="G70" s="8">
        <f t="shared" si="15"/>
        <v>0</v>
      </c>
      <c r="H70" s="8">
        <f>G70*Factors!$N$27</f>
        <v>0</v>
      </c>
      <c r="I70" s="20"/>
      <c r="J70" s="1"/>
      <c r="K70" s="1"/>
      <c r="L70" s="1"/>
      <c r="M70" s="1"/>
    </row>
    <row r="71" spans="1:31" ht="14.5" x14ac:dyDescent="0.7">
      <c r="A71" s="498">
        <v>1</v>
      </c>
      <c r="B71" s="498">
        <v>8760</v>
      </c>
      <c r="C71" s="532">
        <v>0.4</v>
      </c>
      <c r="D71" s="498">
        <f t="shared" si="13"/>
        <v>3504</v>
      </c>
      <c r="E71" s="498">
        <v>20</v>
      </c>
      <c r="F71" s="498">
        <f t="shared" si="14"/>
        <v>70080</v>
      </c>
      <c r="G71" s="490">
        <f>F71*I1</f>
        <v>85007040</v>
      </c>
      <c r="H71" s="490">
        <f>G71*Factors!$N$27</f>
        <v>38558.513287679998</v>
      </c>
      <c r="I71" s="497"/>
      <c r="J71" s="489"/>
      <c r="K71" s="489"/>
      <c r="L71" s="489"/>
      <c r="M71" s="489"/>
      <c r="N71" s="498"/>
      <c r="O71" s="498"/>
      <c r="P71" s="498"/>
      <c r="Q71" s="498"/>
      <c r="R71" s="498"/>
      <c r="S71" s="498"/>
      <c r="T71" s="498"/>
      <c r="U71" s="498"/>
      <c r="V71" s="498"/>
    </row>
    <row r="72" spans="1:31" ht="21" x14ac:dyDescent="0.65">
      <c r="A72" s="550" t="s">
        <v>631</v>
      </c>
      <c r="B72" s="59"/>
      <c r="C72" s="59"/>
      <c r="D72" s="59"/>
      <c r="E72" s="59"/>
      <c r="F72" s="59"/>
      <c r="G72" s="59"/>
      <c r="H72" s="59"/>
      <c r="I72" s="59"/>
      <c r="J72" s="59"/>
      <c r="K72" s="59"/>
      <c r="L72" s="59"/>
      <c r="M72" s="59"/>
      <c r="N72" s="59"/>
      <c r="O72" s="59"/>
      <c r="P72" s="59"/>
      <c r="Q72" s="59"/>
      <c r="R72" s="59"/>
      <c r="S72" s="59"/>
      <c r="T72" s="59"/>
      <c r="U72" s="59"/>
      <c r="V72" s="59"/>
      <c r="W72" s="498"/>
      <c r="X72" s="498"/>
      <c r="Y72" s="498"/>
      <c r="Z72" s="498"/>
      <c r="AA72" s="498"/>
      <c r="AB72" s="498"/>
      <c r="AC72" s="498"/>
      <c r="AD72" s="498"/>
      <c r="AE72" s="498"/>
    </row>
    <row r="73" spans="1:31" ht="43.5" x14ac:dyDescent="0.7">
      <c r="A73" s="1" t="s">
        <v>925</v>
      </c>
      <c r="B73" s="1" t="s">
        <v>638</v>
      </c>
      <c r="C73" s="1" t="s">
        <v>849</v>
      </c>
      <c r="D73" s="16" t="s">
        <v>633</v>
      </c>
      <c r="E73" s="16" t="s">
        <v>630</v>
      </c>
      <c r="F73" s="1" t="s">
        <v>493</v>
      </c>
      <c r="G73" s="1" t="s">
        <v>501</v>
      </c>
      <c r="H73" s="16" t="s">
        <v>502</v>
      </c>
    </row>
    <row r="74" spans="1:31" ht="15.25" thickBot="1" x14ac:dyDescent="0.85">
      <c r="A74" s="323" t="e">
        <f>'Tribal Measure Tool'!#REF!</f>
        <v>#REF!</v>
      </c>
      <c r="B74">
        <v>8760</v>
      </c>
      <c r="C74" s="439">
        <v>0.4</v>
      </c>
      <c r="D74" t="e">
        <f>A74*B74*C74</f>
        <v>#REF!</v>
      </c>
      <c r="E74" s="323" t="e">
        <f>'Tribal Measure Tool'!#REF!</f>
        <v>#REF!</v>
      </c>
      <c r="F74" s="10" t="e">
        <f>D74*E74</f>
        <v>#REF!</v>
      </c>
      <c r="G74" s="8" t="e">
        <f>F74*$F$1</f>
        <v>#REF!</v>
      </c>
      <c r="H74" s="554" t="e">
        <f>G74*Factors!$N$27</f>
        <v>#REF!</v>
      </c>
      <c r="I74" s="16"/>
      <c r="J74" s="1"/>
      <c r="K74" s="1"/>
      <c r="AB74" s="59"/>
      <c r="AC74" s="59"/>
    </row>
    <row r="75" spans="1:31" ht="14.5" x14ac:dyDescent="0.7">
      <c r="A75" s="547">
        <v>25</v>
      </c>
      <c r="B75">
        <v>8760</v>
      </c>
      <c r="C75" s="439">
        <v>0.4</v>
      </c>
      <c r="D75">
        <f>A75*B75*C75</f>
        <v>87600</v>
      </c>
      <c r="E75" s="323" t="e">
        <f>'Tribal Measure Tool'!#REF!</f>
        <v>#REF!</v>
      </c>
      <c r="F75" s="10" t="e">
        <f>D75*E75</f>
        <v>#REF!</v>
      </c>
      <c r="G75" s="8" t="e">
        <f>F75*$F$1</f>
        <v>#REF!</v>
      </c>
      <c r="H75" s="8" t="e">
        <f>G75*Factors!$N$27</f>
        <v>#REF!</v>
      </c>
      <c r="I75" s="20"/>
      <c r="J75" s="1"/>
      <c r="K75" s="1"/>
      <c r="L75" s="1"/>
      <c r="M75" s="1"/>
    </row>
    <row r="76" spans="1:31" ht="15.25" thickBot="1" x14ac:dyDescent="0.85">
      <c r="A76" s="549">
        <v>30</v>
      </c>
      <c r="B76">
        <v>8760</v>
      </c>
      <c r="C76" s="439">
        <v>0.4</v>
      </c>
      <c r="D76">
        <f>A76*B76*C76</f>
        <v>105120</v>
      </c>
      <c r="E76" s="323" t="e">
        <f>'Tribal Measure Tool'!#REF!</f>
        <v>#REF!</v>
      </c>
      <c r="F76" s="10" t="e">
        <f>D76*E76</f>
        <v>#REF!</v>
      </c>
      <c r="G76" s="8" t="e">
        <f>F76*$F$1</f>
        <v>#REF!</v>
      </c>
      <c r="H76" s="8" t="e">
        <f>G76*Factors!$N$27</f>
        <v>#REF!</v>
      </c>
      <c r="I76" s="20"/>
      <c r="J76" s="1"/>
      <c r="K76" s="1"/>
      <c r="L76" s="1"/>
      <c r="M76" s="1"/>
    </row>
    <row r="77" spans="1:31" ht="14.5" x14ac:dyDescent="0.7">
      <c r="A77" s="498">
        <v>25</v>
      </c>
      <c r="B77" s="498">
        <v>8760</v>
      </c>
      <c r="C77" s="532">
        <v>0.4</v>
      </c>
      <c r="D77" s="498">
        <f>A77*B77*C77</f>
        <v>87600</v>
      </c>
      <c r="E77" s="498">
        <v>3</v>
      </c>
      <c r="F77" s="498">
        <f>D77*E77</f>
        <v>262800</v>
      </c>
      <c r="G77" s="490">
        <f>F77*I1</f>
        <v>318776400</v>
      </c>
      <c r="H77" s="490">
        <f>G77*Factors!$N$27</f>
        <v>144594.42482879999</v>
      </c>
      <c r="I77" s="497"/>
      <c r="J77" s="489"/>
      <c r="K77" s="489"/>
      <c r="L77" s="489"/>
      <c r="M77" s="489"/>
      <c r="N77" s="498"/>
      <c r="O77" s="498"/>
      <c r="P77" s="498"/>
      <c r="Q77" s="498"/>
      <c r="R77" s="498"/>
      <c r="S77" s="498"/>
      <c r="T77" s="498"/>
      <c r="U77" s="498"/>
      <c r="V77" s="498"/>
    </row>
    <row r="78" spans="1:31" ht="14.5" x14ac:dyDescent="0.7">
      <c r="E78" s="8"/>
      <c r="F78" s="8"/>
      <c r="G78" s="342"/>
      <c r="H78" s="1"/>
      <c r="I78" s="1"/>
      <c r="J78" s="1"/>
      <c r="K78" s="1" t="s">
        <v>932</v>
      </c>
      <c r="N78" s="18" t="s">
        <v>857</v>
      </c>
    </row>
    <row r="79" spans="1:31" ht="21" x14ac:dyDescent="0.65">
      <c r="A79" s="331" t="s">
        <v>933</v>
      </c>
      <c r="B79" s="59"/>
      <c r="C79" s="59"/>
      <c r="D79" s="59"/>
      <c r="E79" s="59"/>
      <c r="F79" s="59"/>
      <c r="G79" s="59"/>
      <c r="H79" s="59"/>
      <c r="I79" s="59"/>
      <c r="J79" s="59"/>
      <c r="K79" s="59"/>
      <c r="L79" s="59"/>
      <c r="M79" s="59"/>
      <c r="N79" s="59"/>
    </row>
    <row r="80" spans="1:31" ht="29" x14ac:dyDescent="0.7">
      <c r="A80" s="1" t="s">
        <v>860</v>
      </c>
      <c r="B80" s="1" t="s">
        <v>633</v>
      </c>
      <c r="C80" s="16" t="s">
        <v>639</v>
      </c>
      <c r="D80" s="16" t="s">
        <v>856</v>
      </c>
      <c r="E80" s="1" t="s">
        <v>501</v>
      </c>
      <c r="F80" s="16" t="s">
        <v>502</v>
      </c>
      <c r="G80" s="16"/>
      <c r="H80" s="1"/>
      <c r="I80" s="316" t="s">
        <v>964</v>
      </c>
      <c r="J80" s="316" t="s">
        <v>965</v>
      </c>
      <c r="K80" s="1" t="s">
        <v>967</v>
      </c>
      <c r="L80" t="s">
        <v>971</v>
      </c>
    </row>
    <row r="81" spans="1:31" ht="14.5" x14ac:dyDescent="0.7">
      <c r="A81" s="323">
        <v>0.5</v>
      </c>
      <c r="B81" s="8">
        <f t="shared" ref="B81:B89" si="16">L81</f>
        <v>643.74099999999999</v>
      </c>
      <c r="C81" s="323">
        <f>'Tribal Measure Tool'!$J$16</f>
        <v>0</v>
      </c>
      <c r="D81">
        <f t="shared" ref="D81:D90" si="17">C81*B81*A81</f>
        <v>0</v>
      </c>
      <c r="E81" s="8">
        <f>D81*$F$1</f>
        <v>0</v>
      </c>
      <c r="F81" s="8">
        <f>E81*Factors!$N$27</f>
        <v>0</v>
      </c>
      <c r="G81" s="20"/>
      <c r="H81" s="323">
        <v>0.5</v>
      </c>
      <c r="I81" s="1">
        <v>623570</v>
      </c>
      <c r="J81" s="1">
        <v>663912</v>
      </c>
      <c r="K81" s="1">
        <f>AVERAGE(I81:J81)</f>
        <v>643741</v>
      </c>
      <c r="L81">
        <f>K81/1000</f>
        <v>643.74099999999999</v>
      </c>
    </row>
    <row r="82" spans="1:31" s="498" customFormat="1" ht="14.5" x14ac:dyDescent="0.7">
      <c r="A82" s="323">
        <v>1</v>
      </c>
      <c r="B82" s="8">
        <f t="shared" si="16"/>
        <v>1287.4580000000001</v>
      </c>
      <c r="C82" s="323">
        <f>'Tribal Measure Tool'!$J$16</f>
        <v>0</v>
      </c>
      <c r="D82">
        <f t="shared" si="17"/>
        <v>0</v>
      </c>
      <c r="E82" s="8">
        <f t="shared" ref="E82:E89" si="18">D82*$F$1</f>
        <v>0</v>
      </c>
      <c r="F82" s="8">
        <f>E82*Factors!$N$27</f>
        <v>0</v>
      </c>
      <c r="G82" s="20"/>
      <c r="H82" s="323">
        <v>1</v>
      </c>
      <c r="I82">
        <v>1247119</v>
      </c>
      <c r="J82">
        <v>1327797</v>
      </c>
      <c r="K82" s="1">
        <f t="shared" ref="K82:K89" si="19">AVERAGE(I82:J82)</f>
        <v>1287458</v>
      </c>
      <c r="L82">
        <f t="shared" ref="L82:L89" si="20">K82/1000</f>
        <v>1287.4580000000001</v>
      </c>
      <c r="M82"/>
      <c r="N82"/>
      <c r="O82"/>
      <c r="P82"/>
      <c r="Q82"/>
      <c r="R82"/>
      <c r="S82"/>
      <c r="T82"/>
      <c r="U82"/>
      <c r="V82"/>
      <c r="W82" s="59"/>
      <c r="X82" s="59"/>
      <c r="Y82" s="59"/>
      <c r="Z82" s="59"/>
      <c r="AA82" s="59"/>
      <c r="AB82"/>
      <c r="AC82"/>
      <c r="AD82"/>
      <c r="AE82"/>
    </row>
    <row r="83" spans="1:31" ht="14.5" x14ac:dyDescent="0.7">
      <c r="A83" s="323">
        <v>2</v>
      </c>
      <c r="B83" s="8">
        <f t="shared" si="16"/>
        <v>2574.8825000000002</v>
      </c>
      <c r="C83" s="323">
        <f>'Tribal Measure Tool'!$J$16</f>
        <v>0</v>
      </c>
      <c r="D83">
        <f t="shared" si="17"/>
        <v>0</v>
      </c>
      <c r="E83" s="8">
        <f t="shared" si="18"/>
        <v>0</v>
      </c>
      <c r="F83" s="8">
        <f>E83*Factors!$N$27</f>
        <v>0</v>
      </c>
      <c r="G83" s="20"/>
      <c r="H83" s="323">
        <v>2</v>
      </c>
      <c r="I83">
        <v>2494208</v>
      </c>
      <c r="J83">
        <v>2655557</v>
      </c>
      <c r="K83" s="1">
        <f t="shared" si="19"/>
        <v>2574882.5</v>
      </c>
      <c r="L83">
        <f t="shared" si="20"/>
        <v>2574.8825000000002</v>
      </c>
    </row>
    <row r="84" spans="1:31" ht="14.5" x14ac:dyDescent="0.7">
      <c r="A84" s="323">
        <v>3</v>
      </c>
      <c r="B84" s="8">
        <f t="shared" si="16"/>
        <v>3862.3015</v>
      </c>
      <c r="C84" s="323">
        <f>'Tribal Measure Tool'!$J$16</f>
        <v>0</v>
      </c>
      <c r="D84">
        <f t="shared" si="17"/>
        <v>0</v>
      </c>
      <c r="E84" s="8">
        <f t="shared" si="18"/>
        <v>0</v>
      </c>
      <c r="F84" s="8">
        <f>E84*Factors!$N$27</f>
        <v>0</v>
      </c>
      <c r="H84" s="323">
        <v>3</v>
      </c>
      <c r="I84">
        <v>3741292</v>
      </c>
      <c r="J84">
        <v>3983311</v>
      </c>
      <c r="K84" s="1">
        <f t="shared" si="19"/>
        <v>3862301.5</v>
      </c>
      <c r="L84">
        <f t="shared" si="20"/>
        <v>3862.3015</v>
      </c>
    </row>
    <row r="85" spans="1:31" ht="14.5" x14ac:dyDescent="0.7">
      <c r="A85" s="323">
        <v>4</v>
      </c>
      <c r="B85" s="8">
        <f t="shared" si="16"/>
        <v>5149.7179999999998</v>
      </c>
      <c r="C85" s="323">
        <f>'Tribal Measure Tool'!$J$16</f>
        <v>0</v>
      </c>
      <c r="D85">
        <f t="shared" si="17"/>
        <v>0</v>
      </c>
      <c r="E85" s="8">
        <f t="shared" si="18"/>
        <v>0</v>
      </c>
      <c r="F85" s="8">
        <f>E85*Factors!$N$27</f>
        <v>0</v>
      </c>
      <c r="H85" s="323">
        <v>4</v>
      </c>
      <c r="I85">
        <v>4988374</v>
      </c>
      <c r="J85">
        <v>5311062</v>
      </c>
      <c r="K85" s="1">
        <f t="shared" si="19"/>
        <v>5149718</v>
      </c>
      <c r="L85">
        <f t="shared" si="20"/>
        <v>5149.7179999999998</v>
      </c>
      <c r="W85" s="498"/>
      <c r="X85" s="498"/>
      <c r="Y85" s="498"/>
      <c r="Z85" s="498"/>
      <c r="AA85" s="498"/>
      <c r="AB85" s="498"/>
      <c r="AC85" s="498"/>
      <c r="AD85" s="498"/>
      <c r="AE85" s="498"/>
    </row>
    <row r="86" spans="1:31" ht="14.5" x14ac:dyDescent="0.7">
      <c r="A86" s="323">
        <v>5</v>
      </c>
      <c r="B86" s="8">
        <f t="shared" si="16"/>
        <v>6437.1319999999996</v>
      </c>
      <c r="C86" s="323">
        <f>'Tribal Measure Tool'!$J$16</f>
        <v>0</v>
      </c>
      <c r="D86">
        <f t="shared" si="17"/>
        <v>0</v>
      </c>
      <c r="E86" s="8">
        <f t="shared" si="18"/>
        <v>0</v>
      </c>
      <c r="F86" s="8">
        <f>E86*Factors!$N$27</f>
        <v>0</v>
      </c>
      <c r="H86" s="323">
        <v>5</v>
      </c>
      <c r="I86">
        <v>6235454</v>
      </c>
      <c r="J86">
        <v>6638810</v>
      </c>
      <c r="K86" s="1">
        <f t="shared" si="19"/>
        <v>6437132</v>
      </c>
      <c r="L86">
        <f t="shared" si="20"/>
        <v>6437.1319999999996</v>
      </c>
    </row>
    <row r="87" spans="1:31" ht="14.5" x14ac:dyDescent="0.7">
      <c r="A87" s="323">
        <v>10</v>
      </c>
      <c r="B87" s="8">
        <f t="shared" si="16"/>
        <v>12874.188</v>
      </c>
      <c r="C87" s="323">
        <f>'Tribal Measure Tool'!$J$16</f>
        <v>0</v>
      </c>
      <c r="D87">
        <f t="shared" si="17"/>
        <v>0</v>
      </c>
      <c r="E87" s="8">
        <f t="shared" si="18"/>
        <v>0</v>
      </c>
      <c r="F87" s="8">
        <f>E87*Factors!$N$27</f>
        <v>0</v>
      </c>
      <c r="H87" s="323">
        <v>10</v>
      </c>
      <c r="I87">
        <v>12470840</v>
      </c>
      <c r="J87">
        <v>13277536</v>
      </c>
      <c r="K87" s="1">
        <f t="shared" si="19"/>
        <v>12874188</v>
      </c>
      <c r="L87">
        <f t="shared" si="20"/>
        <v>12874.188</v>
      </c>
      <c r="O87" s="59"/>
      <c r="P87" s="59"/>
      <c r="Q87" s="59"/>
      <c r="R87" s="59"/>
      <c r="S87" s="59"/>
      <c r="T87" s="59"/>
      <c r="U87" s="59"/>
      <c r="V87" s="59"/>
      <c r="AB87" s="59"/>
      <c r="AC87" s="59"/>
    </row>
    <row r="88" spans="1:31" s="498" customFormat="1" ht="14.5" x14ac:dyDescent="0.7">
      <c r="A88" s="323">
        <v>15</v>
      </c>
      <c r="B88" s="8">
        <f t="shared" si="16"/>
        <v>19311.232499999998</v>
      </c>
      <c r="C88" s="323">
        <f>'Tribal Measure Tool'!$J$16</f>
        <v>0</v>
      </c>
      <c r="D88">
        <f t="shared" si="17"/>
        <v>0</v>
      </c>
      <c r="E88" s="8">
        <f t="shared" si="18"/>
        <v>0</v>
      </c>
      <c r="F88" s="8">
        <f>E88*Factors!$N$27</f>
        <v>0</v>
      </c>
      <c r="G88"/>
      <c r="H88" s="323">
        <v>15</v>
      </c>
      <c r="I88">
        <v>18706216</v>
      </c>
      <c r="J88">
        <v>19916249</v>
      </c>
      <c r="K88" s="1">
        <f t="shared" si="19"/>
        <v>19311232.5</v>
      </c>
      <c r="L88">
        <f t="shared" si="20"/>
        <v>19311.232499999998</v>
      </c>
      <c r="M88"/>
      <c r="N88"/>
      <c r="O88"/>
      <c r="P88"/>
      <c r="Q88"/>
      <c r="R88"/>
      <c r="S88"/>
      <c r="T88"/>
      <c r="U88"/>
      <c r="V88"/>
      <c r="W88"/>
      <c r="X88"/>
      <c r="Y88"/>
      <c r="Z88"/>
      <c r="AA88"/>
      <c r="AB88"/>
      <c r="AC88"/>
      <c r="AD88"/>
      <c r="AE88"/>
    </row>
    <row r="89" spans="1:31" ht="14.5" x14ac:dyDescent="0.7">
      <c r="A89" s="323">
        <v>20</v>
      </c>
      <c r="B89" s="8">
        <f t="shared" si="16"/>
        <v>25748.271000000001</v>
      </c>
      <c r="C89" s="323">
        <f>'Tribal Measure Tool'!$J$16</f>
        <v>0</v>
      </c>
      <c r="D89">
        <f t="shared" si="17"/>
        <v>0</v>
      </c>
      <c r="E89" s="8">
        <f t="shared" si="18"/>
        <v>0</v>
      </c>
      <c r="F89" s="8">
        <f>E89*Factors!$N$27</f>
        <v>0</v>
      </c>
      <c r="H89" s="323">
        <v>20</v>
      </c>
      <c r="I89">
        <v>24941587</v>
      </c>
      <c r="J89">
        <v>26554955</v>
      </c>
      <c r="K89" s="1">
        <f t="shared" si="19"/>
        <v>25748271</v>
      </c>
      <c r="L89">
        <f t="shared" si="20"/>
        <v>25748.271000000001</v>
      </c>
    </row>
    <row r="90" spans="1:31" x14ac:dyDescent="0.65">
      <c r="A90" s="498">
        <v>1</v>
      </c>
      <c r="B90" s="527">
        <f>B82</f>
        <v>1287.4580000000001</v>
      </c>
      <c r="C90" s="498">
        <v>20</v>
      </c>
      <c r="D90" s="498">
        <f t="shared" si="17"/>
        <v>25749.160000000003</v>
      </c>
      <c r="E90" s="490">
        <f>D90*I1</f>
        <v>31233731.080000006</v>
      </c>
      <c r="F90" s="490">
        <f>E90*Factors!$N$27</f>
        <v>14167.370548039362</v>
      </c>
      <c r="G90" s="498"/>
      <c r="H90" s="498"/>
      <c r="I90" s="498"/>
      <c r="J90" s="498"/>
      <c r="K90" s="498"/>
      <c r="L90" s="498"/>
      <c r="M90" s="498"/>
      <c r="N90" s="498"/>
      <c r="O90" s="498"/>
      <c r="P90" s="498"/>
      <c r="Q90" s="498"/>
      <c r="R90" s="498"/>
      <c r="S90" s="498"/>
      <c r="T90" s="498"/>
      <c r="U90" s="498"/>
      <c r="V90" s="498"/>
    </row>
    <row r="91" spans="1:31" x14ac:dyDescent="0.65">
      <c r="W91" s="498"/>
      <c r="X91" s="498"/>
      <c r="Y91" s="498"/>
      <c r="Z91" s="498"/>
      <c r="AA91" s="498"/>
      <c r="AB91" s="498"/>
      <c r="AC91" s="498"/>
      <c r="AD91" s="498"/>
      <c r="AE91" s="498"/>
    </row>
    <row r="92" spans="1:31" ht="21" x14ac:dyDescent="0.65">
      <c r="A92" s="550" t="s">
        <v>934</v>
      </c>
      <c r="B92" s="59"/>
      <c r="C92" s="59"/>
      <c r="D92" s="59"/>
      <c r="E92" s="59"/>
      <c r="F92" s="59"/>
      <c r="G92" s="59"/>
      <c r="H92" s="59"/>
      <c r="I92" s="59"/>
      <c r="J92" s="59"/>
      <c r="K92" s="59"/>
      <c r="L92" s="59"/>
      <c r="M92" s="59"/>
      <c r="N92" s="59"/>
    </row>
    <row r="93" spans="1:31" ht="29" x14ac:dyDescent="0.7">
      <c r="A93" s="1" t="s">
        <v>860</v>
      </c>
      <c r="B93" s="1" t="s">
        <v>633</v>
      </c>
      <c r="C93" s="16" t="s">
        <v>639</v>
      </c>
      <c r="D93" s="16" t="s">
        <v>856</v>
      </c>
      <c r="E93" s="1" t="s">
        <v>501</v>
      </c>
      <c r="F93" s="16" t="s">
        <v>502</v>
      </c>
      <c r="I93" s="316" t="s">
        <v>964</v>
      </c>
      <c r="J93" s="316" t="s">
        <v>965</v>
      </c>
      <c r="K93" s="1" t="s">
        <v>967</v>
      </c>
      <c r="L93" t="s">
        <v>969</v>
      </c>
    </row>
    <row r="94" spans="1:31" x14ac:dyDescent="0.65">
      <c r="A94" s="323">
        <v>25</v>
      </c>
      <c r="B94" s="183">
        <v>33266.646000000001</v>
      </c>
      <c r="C94" s="323" t="e">
        <f>'Tribal Measure Tool'!#REF!</f>
        <v>#REF!</v>
      </c>
      <c r="D94" s="8" t="e">
        <f>B94*C94</f>
        <v>#REF!</v>
      </c>
      <c r="E94" s="8" t="e">
        <f>D94*$F$1</f>
        <v>#REF!</v>
      </c>
      <c r="F94" s="8" t="e">
        <f>E94*Factors!$N$27</f>
        <v>#REF!</v>
      </c>
      <c r="H94" s="323">
        <v>25</v>
      </c>
      <c r="I94">
        <v>31176953</v>
      </c>
      <c r="J94">
        <v>33193656</v>
      </c>
      <c r="K94">
        <f>AVERAGE(I94:J94)</f>
        <v>32185304.5</v>
      </c>
      <c r="L94">
        <f>K94/1000</f>
        <v>32185.304499999998</v>
      </c>
    </row>
    <row r="95" spans="1:31" x14ac:dyDescent="0.65">
      <c r="A95" s="323">
        <v>30</v>
      </c>
      <c r="B95" s="183">
        <v>39919.942999999999</v>
      </c>
      <c r="C95" s="323" t="e">
        <f>'Tribal Measure Tool'!#REF!</f>
        <v>#REF!</v>
      </c>
      <c r="D95" s="8" t="e">
        <f>B95*C95</f>
        <v>#REF!</v>
      </c>
      <c r="E95" s="8" t="e">
        <f>D95*$F$1</f>
        <v>#REF!</v>
      </c>
      <c r="F95" s="8" t="e">
        <f>E95*Factors!$N$27</f>
        <v>#REF!</v>
      </c>
      <c r="H95" s="323">
        <v>30</v>
      </c>
      <c r="I95">
        <v>37412318</v>
      </c>
      <c r="J95">
        <v>39832354</v>
      </c>
      <c r="K95">
        <f>AVERAGE(I95:J95)</f>
        <v>38622336</v>
      </c>
      <c r="L95">
        <f>K95/1000</f>
        <v>38622.336000000003</v>
      </c>
    </row>
    <row r="96" spans="1:31" x14ac:dyDescent="0.65">
      <c r="A96" s="498">
        <v>30</v>
      </c>
      <c r="B96" s="527">
        <f>L95</f>
        <v>38622.336000000003</v>
      </c>
      <c r="C96" s="498">
        <v>3</v>
      </c>
      <c r="D96" s="490">
        <f>B96*C96</f>
        <v>115867.008</v>
      </c>
      <c r="E96" s="490">
        <f>D96*I1</f>
        <v>140546680.704</v>
      </c>
      <c r="F96" s="490">
        <f>E96*Factors!$N$27</f>
        <v>63750.849993888769</v>
      </c>
      <c r="G96" s="498"/>
      <c r="H96" s="498"/>
      <c r="I96" s="498"/>
      <c r="J96" s="498"/>
      <c r="K96" s="498"/>
      <c r="L96" s="498"/>
      <c r="M96" s="498"/>
      <c r="N96" s="498"/>
      <c r="O96" s="498"/>
      <c r="P96" s="498"/>
      <c r="Q96" s="498"/>
      <c r="R96" s="498"/>
      <c r="S96" s="498"/>
      <c r="T96" s="498"/>
      <c r="U96" s="498"/>
      <c r="V96" s="498"/>
    </row>
    <row r="98" spans="1:14" ht="21" x14ac:dyDescent="0.65">
      <c r="A98" s="331" t="s">
        <v>817</v>
      </c>
      <c r="B98" s="59"/>
      <c r="C98" s="59"/>
      <c r="D98" s="59"/>
      <c r="E98" s="59"/>
      <c r="F98" s="59"/>
      <c r="G98" s="59"/>
      <c r="H98" s="59"/>
      <c r="I98" s="59"/>
      <c r="J98" s="59"/>
      <c r="K98" s="59"/>
      <c r="L98" s="59"/>
      <c r="M98" s="59"/>
      <c r="N98" s="59"/>
    </row>
    <row r="99" spans="1:14" ht="43.5" x14ac:dyDescent="0.7">
      <c r="A99" s="16" t="s">
        <v>927</v>
      </c>
      <c r="B99" s="1" t="s">
        <v>849</v>
      </c>
      <c r="C99" s="16" t="s">
        <v>855</v>
      </c>
      <c r="D99" s="16" t="s">
        <v>856</v>
      </c>
      <c r="E99" s="1" t="s">
        <v>858</v>
      </c>
      <c r="F99" s="16" t="s">
        <v>859</v>
      </c>
      <c r="G99" s="1"/>
    </row>
    <row r="100" spans="1:14" ht="14.5" x14ac:dyDescent="0.7">
      <c r="A100" s="543">
        <f>'Tribal Measure Tool'!H17</f>
        <v>0</v>
      </c>
      <c r="B100" s="544">
        <v>0.36299999999999999</v>
      </c>
      <c r="C100" s="543">
        <f>'Tribal Measure Tool'!$J$17</f>
        <v>0</v>
      </c>
      <c r="D100" s="545">
        <f>8760*A100*B100*C100</f>
        <v>0</v>
      </c>
      <c r="E100" s="545">
        <f>D100*F$1</f>
        <v>0</v>
      </c>
      <c r="F100" s="546">
        <f>E100*Factors!N$27</f>
        <v>0</v>
      </c>
      <c r="G100" s="1"/>
    </row>
    <row r="101" spans="1:14" x14ac:dyDescent="0.65">
      <c r="A101" s="323">
        <v>0.1</v>
      </c>
      <c r="B101" s="544">
        <v>0.36299999999999999</v>
      </c>
      <c r="C101" s="543">
        <f>'Tribal Measure Tool'!$J$17</f>
        <v>0</v>
      </c>
      <c r="D101" s="545">
        <f t="shared" ref="D101:D109" si="21">8760*A101*B101*C101</f>
        <v>0</v>
      </c>
      <c r="E101" s="545">
        <f t="shared" ref="E101:E109" si="22">D101*F$1</f>
        <v>0</v>
      </c>
      <c r="F101" s="546">
        <f>E101*Factors!N$27</f>
        <v>0</v>
      </c>
    </row>
    <row r="102" spans="1:14" x14ac:dyDescent="0.65">
      <c r="A102" s="323">
        <v>0.25</v>
      </c>
      <c r="B102" s="544">
        <v>0.36299999999999999</v>
      </c>
      <c r="C102" s="543">
        <f>'Tribal Measure Tool'!$J$17</f>
        <v>0</v>
      </c>
      <c r="D102" s="545">
        <f t="shared" si="21"/>
        <v>0</v>
      </c>
      <c r="E102" s="545">
        <f t="shared" si="22"/>
        <v>0</v>
      </c>
      <c r="F102" s="546">
        <f>E102*Factors!N$27</f>
        <v>0</v>
      </c>
    </row>
    <row r="103" spans="1:14" x14ac:dyDescent="0.65">
      <c r="A103" s="323">
        <v>0.5</v>
      </c>
      <c r="B103" s="544">
        <v>0.36299999999999999</v>
      </c>
      <c r="C103" s="543">
        <f>'Tribal Measure Tool'!$J$17</f>
        <v>0</v>
      </c>
      <c r="D103" s="545">
        <f t="shared" si="21"/>
        <v>0</v>
      </c>
      <c r="E103" s="545">
        <f t="shared" si="22"/>
        <v>0</v>
      </c>
      <c r="F103" s="546">
        <f>E103*Factors!N$27</f>
        <v>0</v>
      </c>
    </row>
    <row r="104" spans="1:14" x14ac:dyDescent="0.65">
      <c r="A104" s="323">
        <v>1</v>
      </c>
      <c r="B104" s="544">
        <v>0.36299999999999999</v>
      </c>
      <c r="C104" s="543">
        <f>'Tribal Measure Tool'!$J$17</f>
        <v>0</v>
      </c>
      <c r="D104" s="545">
        <f t="shared" si="21"/>
        <v>0</v>
      </c>
      <c r="E104" s="545">
        <f t="shared" si="22"/>
        <v>0</v>
      </c>
      <c r="F104" s="546">
        <f>E104*Factors!N$27</f>
        <v>0</v>
      </c>
    </row>
    <row r="105" spans="1:14" x14ac:dyDescent="0.65">
      <c r="A105" s="323">
        <v>2</v>
      </c>
      <c r="B105" s="544">
        <v>0.36299999999999999</v>
      </c>
      <c r="C105" s="543">
        <f>'Tribal Measure Tool'!$J$17</f>
        <v>0</v>
      </c>
      <c r="D105" s="545">
        <f t="shared" si="21"/>
        <v>0</v>
      </c>
      <c r="E105" s="545">
        <f t="shared" si="22"/>
        <v>0</v>
      </c>
      <c r="F105" s="546">
        <f>E105*Factors!N$27</f>
        <v>0</v>
      </c>
    </row>
    <row r="106" spans="1:14" x14ac:dyDescent="0.65">
      <c r="A106" s="323">
        <v>3</v>
      </c>
      <c r="B106" s="544">
        <v>0.36299999999999999</v>
      </c>
      <c r="C106" s="543">
        <f>'Tribal Measure Tool'!$J$17</f>
        <v>0</v>
      </c>
      <c r="D106" s="545">
        <f t="shared" si="21"/>
        <v>0</v>
      </c>
      <c r="E106" s="545">
        <f t="shared" si="22"/>
        <v>0</v>
      </c>
      <c r="F106" s="546">
        <f>E106*Factors!N$27</f>
        <v>0</v>
      </c>
    </row>
    <row r="107" spans="1:14" x14ac:dyDescent="0.65">
      <c r="A107" s="323">
        <v>5</v>
      </c>
      <c r="B107" s="544">
        <v>0.36299999999999999</v>
      </c>
      <c r="C107" s="543">
        <f>'Tribal Measure Tool'!$J$17</f>
        <v>0</v>
      </c>
      <c r="D107" s="545">
        <f t="shared" si="21"/>
        <v>0</v>
      </c>
      <c r="E107" s="545">
        <f t="shared" si="22"/>
        <v>0</v>
      </c>
      <c r="F107" s="546">
        <f>E107*Factors!N$27</f>
        <v>0</v>
      </c>
    </row>
    <row r="108" spans="1:14" x14ac:dyDescent="0.65">
      <c r="A108" s="323">
        <v>10</v>
      </c>
      <c r="B108" s="544">
        <v>0.36299999999999999</v>
      </c>
      <c r="C108" s="543">
        <f>'Tribal Measure Tool'!$J$17</f>
        <v>0</v>
      </c>
      <c r="D108" s="545">
        <f t="shared" si="21"/>
        <v>0</v>
      </c>
      <c r="E108" s="545">
        <f t="shared" si="22"/>
        <v>0</v>
      </c>
      <c r="F108" s="546">
        <f>E108*Factors!N$27</f>
        <v>0</v>
      </c>
    </row>
    <row r="109" spans="1:14" x14ac:dyDescent="0.65">
      <c r="A109" s="323">
        <v>15</v>
      </c>
      <c r="B109" s="544">
        <v>0.36299999999999999</v>
      </c>
      <c r="C109" s="543">
        <f>'Tribal Measure Tool'!$J$17</f>
        <v>0</v>
      </c>
      <c r="D109" s="545">
        <f t="shared" si="21"/>
        <v>0</v>
      </c>
      <c r="E109" s="545">
        <f t="shared" si="22"/>
        <v>0</v>
      </c>
      <c r="F109" s="546">
        <f>E109*Factors!N$27</f>
        <v>0</v>
      </c>
    </row>
    <row r="110" spans="1:14" x14ac:dyDescent="0.65">
      <c r="A110" s="498">
        <v>1</v>
      </c>
      <c r="B110" s="532">
        <v>0.36299999999999999</v>
      </c>
      <c r="C110" s="498">
        <v>5</v>
      </c>
      <c r="D110" s="535">
        <f>8760*A110*B110*C110</f>
        <v>15899.400000000001</v>
      </c>
      <c r="E110" s="535">
        <f>D110*I1</f>
        <v>19285972.200000003</v>
      </c>
      <c r="F110" s="537">
        <f>E110*Factors!N$27</f>
        <v>8747.9627021424021</v>
      </c>
      <c r="G110" s="498"/>
      <c r="H110" s="498"/>
      <c r="I110" s="498"/>
      <c r="J110" s="498"/>
      <c r="K110" s="498"/>
      <c r="L110" s="498"/>
      <c r="M110" s="498"/>
    </row>
    <row r="111" spans="1:14" x14ac:dyDescent="0.65">
      <c r="A111" t="s">
        <v>818</v>
      </c>
    </row>
    <row r="112" spans="1:14" x14ac:dyDescent="0.65">
      <c r="A112" s="177" t="s">
        <v>819</v>
      </c>
    </row>
    <row r="113" spans="1:1" x14ac:dyDescent="0.65">
      <c r="A113" s="177" t="s">
        <v>820</v>
      </c>
    </row>
    <row r="114" spans="1:1" x14ac:dyDescent="0.65">
      <c r="A114" s="18" t="s">
        <v>821</v>
      </c>
    </row>
    <row r="117" spans="1:1" x14ac:dyDescent="0.65">
      <c r="A117" s="18" t="s">
        <v>850</v>
      </c>
    </row>
  </sheetData>
  <mergeCells count="1">
    <mergeCell ref="A2:H2"/>
  </mergeCells>
  <hyperlinks>
    <hyperlink ref="A114" r:id="rId1" xr:uid="{3940C8E2-F4BD-4482-9FC7-B84CD07004C5}"/>
    <hyperlink ref="A117" r:id="rId2" xr:uid="{681C4380-D154-4C60-9ED5-A75213430487}"/>
    <hyperlink ref="N78" r:id="rId3" xr:uid="{E8A0278E-3D8B-4A6B-B4DE-706110195B0B}"/>
  </hyperlinks>
  <pageMargins left="0.7" right="0.7" top="0.75" bottom="0.75" header="0.3" footer="0.3"/>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AA5F4-CB61-466E-A678-E83A03E65D96}">
  <sheetPr>
    <tabColor theme="8"/>
  </sheetPr>
  <dimension ref="A1:T81"/>
  <sheetViews>
    <sheetView workbookViewId="0">
      <pane ySplit="1" topLeftCell="A2" activePane="bottomLeft" state="frozen"/>
      <selection activeCell="H37" sqref="H37"/>
      <selection pane="bottomLeft" activeCell="H37" sqref="H37"/>
    </sheetView>
  </sheetViews>
  <sheetFormatPr defaultRowHeight="14.25" x14ac:dyDescent="0.65"/>
  <cols>
    <col min="1" max="1" width="41.75" customWidth="1"/>
    <col min="2" max="2" width="26.875" bestFit="1" customWidth="1"/>
    <col min="3" max="3" width="16.875" bestFit="1" customWidth="1"/>
    <col min="4" max="4" width="15.375" customWidth="1"/>
    <col min="5" max="5" width="24.75" bestFit="1" customWidth="1"/>
    <col min="6" max="6" width="13.25" bestFit="1" customWidth="1"/>
    <col min="7" max="7" width="22.5" customWidth="1"/>
    <col min="8" max="8" width="19.875" customWidth="1"/>
    <col min="9" max="9" width="10.375" bestFit="1" customWidth="1"/>
    <col min="10" max="10" width="9.5" bestFit="1" customWidth="1"/>
    <col min="11" max="20" width="8.75" bestFit="1" customWidth="1"/>
  </cols>
  <sheetData>
    <row r="1" spans="1:20" ht="22.9" customHeight="1" x14ac:dyDescent="1">
      <c r="A1" s="327" t="s">
        <v>499</v>
      </c>
      <c r="B1" s="327" t="str">
        <f>'Tribal Measure Tool'!H6</f>
        <v>Type Name Here</v>
      </c>
      <c r="D1" s="559" t="s">
        <v>504</v>
      </c>
      <c r="E1" s="327"/>
      <c r="F1" s="335">
        <f>'Tribal Measure Tool'!E5</f>
        <v>1216</v>
      </c>
      <c r="H1" t="s">
        <v>950</v>
      </c>
      <c r="I1" s="560">
        <f>'Tool Reference'!T15</f>
        <v>1181.686547460436</v>
      </c>
    </row>
    <row r="2" spans="1:20" ht="21" x14ac:dyDescent="0.7">
      <c r="A2" s="331" t="s">
        <v>456</v>
      </c>
      <c r="B2" s="361"/>
      <c r="C2" s="361"/>
      <c r="D2" s="361"/>
      <c r="E2" s="361"/>
      <c r="F2" s="59"/>
      <c r="G2" s="59"/>
      <c r="H2" s="59"/>
      <c r="I2" s="59"/>
      <c r="J2" s="59"/>
      <c r="K2" s="59"/>
      <c r="L2" s="59"/>
      <c r="M2" s="59"/>
      <c r="N2" s="59"/>
      <c r="O2" s="59"/>
      <c r="P2" s="59"/>
      <c r="Q2" s="59"/>
      <c r="R2" s="59"/>
    </row>
    <row r="3" spans="1:20" ht="43.5" x14ac:dyDescent="0.7">
      <c r="A3" s="1" t="s">
        <v>1292</v>
      </c>
      <c r="B3" s="16" t="s">
        <v>1293</v>
      </c>
      <c r="C3" s="16" t="s">
        <v>564</v>
      </c>
      <c r="D3" s="16" t="s">
        <v>911</v>
      </c>
      <c r="E3" s="16" t="s">
        <v>502</v>
      </c>
    </row>
    <row r="4" spans="1:20" s="1" customFormat="1" ht="14.5" x14ac:dyDescent="0.7">
      <c r="A4" s="324">
        <f>'Tribal Measure Tool'!H13</f>
        <v>0</v>
      </c>
      <c r="B4" s="351">
        <f>IFERROR(VLOOKUP($B$1,'Tool Reference'!$A$5:$BG$5,10,FALSE)/VLOOKUP($B$1,'Tool Reference'!$A$11:$S$11,4,FALSE),0)</f>
        <v>0</v>
      </c>
      <c r="C4" s="4">
        <f>B4*A4</f>
        <v>0</v>
      </c>
      <c r="D4" s="17">
        <v>0.8</v>
      </c>
      <c r="E4" s="525">
        <f>D4*C4</f>
        <v>0</v>
      </c>
    </row>
    <row r="5" spans="1:20" s="1" customFormat="1" ht="14.5" x14ac:dyDescent="0.7">
      <c r="A5" s="493"/>
      <c r="B5" s="1240"/>
      <c r="C5" s="523"/>
      <c r="D5" s="524"/>
      <c r="E5" s="526"/>
      <c r="F5" s="489"/>
      <c r="G5" s="489"/>
      <c r="H5" s="489"/>
      <c r="I5" s="489"/>
      <c r="J5" s="489"/>
      <c r="K5" s="489"/>
      <c r="L5" s="489"/>
      <c r="M5" s="489"/>
      <c r="N5" s="489"/>
      <c r="O5" s="489"/>
      <c r="P5" s="489"/>
      <c r="Q5" s="489"/>
      <c r="R5" s="489"/>
    </row>
    <row r="6" spans="1:20" ht="21" x14ac:dyDescent="0.65">
      <c r="A6" s="331" t="s">
        <v>457</v>
      </c>
      <c r="B6" s="59"/>
      <c r="C6" s="362"/>
      <c r="D6" s="360"/>
      <c r="E6" s="59"/>
      <c r="F6" s="59"/>
      <c r="G6" s="59"/>
      <c r="H6" s="59"/>
      <c r="I6" s="59"/>
      <c r="J6" s="59"/>
      <c r="K6" s="59"/>
      <c r="L6" s="59"/>
      <c r="M6" s="59"/>
      <c r="N6" s="59"/>
      <c r="O6" s="59"/>
      <c r="P6" s="59"/>
      <c r="Q6" s="59"/>
      <c r="R6" s="59"/>
    </row>
    <row r="7" spans="1:20" ht="43.5" x14ac:dyDescent="0.7">
      <c r="A7" s="1" t="s">
        <v>557</v>
      </c>
      <c r="B7" s="16" t="s">
        <v>910</v>
      </c>
      <c r="C7" s="16" t="s">
        <v>564</v>
      </c>
      <c r="D7" s="16" t="s">
        <v>911</v>
      </c>
      <c r="E7" s="16" t="s">
        <v>502</v>
      </c>
      <c r="F7" s="1"/>
      <c r="G7" s="1"/>
      <c r="H7" s="1"/>
      <c r="I7" s="1"/>
      <c r="J7" s="1"/>
      <c r="K7" s="1"/>
      <c r="L7" s="1"/>
      <c r="M7" s="1"/>
      <c r="N7" s="1"/>
      <c r="O7" s="1"/>
      <c r="P7" s="1"/>
      <c r="Q7" s="1"/>
      <c r="R7" s="1"/>
      <c r="S7" s="1"/>
      <c r="T7" s="1"/>
    </row>
    <row r="8" spans="1:20" ht="14.5" x14ac:dyDescent="0.7">
      <c r="A8" s="324">
        <f>'Tribal Measure Tool'!H14</f>
        <v>0</v>
      </c>
      <c r="B8" s="351" t="e">
        <f>VLOOKUP($B$1,'Tool Reference'!$A$5:$BG$5,12,FALSE)/VLOOKUP($B$1,'Tool Reference'!$A$11:$S$11,5,FALSE)</f>
        <v>#DIV/0!</v>
      </c>
      <c r="C8" s="4" t="e">
        <f>B8*A8</f>
        <v>#DIV/0!</v>
      </c>
      <c r="D8" s="17">
        <v>0.8</v>
      </c>
      <c r="E8" s="525" t="e">
        <f>D8*C8</f>
        <v>#DIV/0!</v>
      </c>
      <c r="F8" s="1"/>
      <c r="G8" s="1"/>
      <c r="H8" s="1"/>
      <c r="I8" s="1"/>
      <c r="J8" s="1"/>
      <c r="K8" s="1"/>
      <c r="L8" s="1"/>
      <c r="M8" s="1"/>
      <c r="N8" s="1"/>
      <c r="O8" s="1"/>
      <c r="P8" s="1"/>
      <c r="Q8" s="1"/>
      <c r="R8" s="1"/>
      <c r="S8" s="1"/>
      <c r="T8" s="1"/>
    </row>
    <row r="9" spans="1:20" ht="14.5" x14ac:dyDescent="0.7">
      <c r="A9" s="493"/>
      <c r="B9" s="492"/>
      <c r="C9" s="523"/>
      <c r="D9" s="524"/>
      <c r="E9" s="526"/>
      <c r="F9" s="489"/>
      <c r="G9" s="489"/>
      <c r="H9" s="489"/>
      <c r="I9" s="489"/>
      <c r="J9" s="489"/>
      <c r="K9" s="489"/>
      <c r="L9" s="489"/>
      <c r="M9" s="489"/>
      <c r="N9" s="489"/>
      <c r="O9" s="489"/>
      <c r="P9" s="489"/>
      <c r="Q9" s="489"/>
      <c r="R9" s="489"/>
      <c r="S9" s="1"/>
      <c r="T9" s="1"/>
    </row>
    <row r="10" spans="1:20" ht="21" x14ac:dyDescent="0.65">
      <c r="A10" s="331" t="s">
        <v>496</v>
      </c>
      <c r="B10" s="59"/>
      <c r="C10" s="362"/>
      <c r="D10" s="360"/>
      <c r="E10" s="59"/>
      <c r="F10" s="59"/>
      <c r="G10" s="59"/>
      <c r="H10" s="59"/>
      <c r="I10" s="59"/>
      <c r="J10" s="59"/>
      <c r="K10" s="59"/>
      <c r="L10" s="59"/>
      <c r="M10" s="59"/>
      <c r="N10" s="59"/>
      <c r="O10" s="59"/>
      <c r="P10" s="59"/>
      <c r="Q10" s="59"/>
      <c r="R10" s="59"/>
    </row>
    <row r="11" spans="1:20" ht="43.5" x14ac:dyDescent="0.7">
      <c r="A11" s="1" t="s">
        <v>620</v>
      </c>
      <c r="B11" s="16" t="s">
        <v>910</v>
      </c>
      <c r="C11" s="16" t="s">
        <v>564</v>
      </c>
      <c r="D11" s="16" t="s">
        <v>911</v>
      </c>
      <c r="E11" s="16" t="s">
        <v>502</v>
      </c>
      <c r="F11" s="1"/>
      <c r="G11" s="1"/>
      <c r="H11" s="1"/>
      <c r="I11" s="1"/>
      <c r="J11" s="1"/>
      <c r="K11" s="1"/>
      <c r="L11" s="1"/>
      <c r="M11" s="1"/>
      <c r="N11" s="1"/>
      <c r="O11" s="1"/>
      <c r="P11" s="1"/>
      <c r="Q11" s="1"/>
      <c r="R11" s="1"/>
      <c r="S11" s="1"/>
      <c r="T11" s="1"/>
    </row>
    <row r="12" spans="1:20" ht="14.5" x14ac:dyDescent="0.7">
      <c r="A12" s="324">
        <f>'Tribal Measure Tool'!H12</f>
        <v>0</v>
      </c>
      <c r="B12" s="1287">
        <f>IFERROR(VLOOKUP($B$1,'Tool Reference'!$A$5:$BG$5,8,FALSE)/VLOOKUP($B$1,'Tool Reference'!$A$11:$S$11,3,FALSE),0)</f>
        <v>0</v>
      </c>
      <c r="C12" s="4">
        <f>B12*A12</f>
        <v>0</v>
      </c>
      <c r="D12" s="17">
        <v>0.8</v>
      </c>
      <c r="E12" s="525">
        <f>D12*C12</f>
        <v>0</v>
      </c>
      <c r="F12" s="1"/>
      <c r="G12" s="1"/>
      <c r="H12" s="1"/>
      <c r="I12" s="1"/>
      <c r="J12" s="1"/>
      <c r="K12" s="1"/>
      <c r="L12" s="1"/>
      <c r="M12" s="1"/>
      <c r="N12" s="1"/>
      <c r="O12" s="1"/>
      <c r="P12" s="1"/>
      <c r="Q12" s="1"/>
      <c r="R12" s="1"/>
      <c r="S12" s="1"/>
      <c r="T12" s="1"/>
    </row>
    <row r="13" spans="1:20" ht="14.5" x14ac:dyDescent="0.7">
      <c r="A13" s="493"/>
      <c r="B13" s="1240"/>
      <c r="C13" s="523"/>
      <c r="D13" s="524"/>
      <c r="E13" s="526"/>
      <c r="F13" s="489"/>
      <c r="G13" s="489"/>
      <c r="H13" s="489"/>
      <c r="I13" s="489"/>
      <c r="J13" s="489"/>
      <c r="K13" s="489"/>
      <c r="L13" s="489"/>
      <c r="M13" s="489"/>
      <c r="N13" s="489"/>
      <c r="O13" s="489"/>
      <c r="P13" s="489"/>
      <c r="Q13" s="489"/>
      <c r="R13" s="489"/>
      <c r="S13" s="1"/>
      <c r="T13" s="1"/>
    </row>
    <row r="14" spans="1:20" ht="21" x14ac:dyDescent="0.65">
      <c r="A14" s="331" t="s">
        <v>1088</v>
      </c>
      <c r="B14" s="59"/>
      <c r="C14" s="59"/>
      <c r="D14" s="59"/>
      <c r="E14" s="59"/>
      <c r="F14" s="59"/>
      <c r="G14" s="59"/>
      <c r="H14" s="59"/>
      <c r="I14" s="59"/>
      <c r="J14" s="59"/>
      <c r="K14" s="59"/>
      <c r="L14" s="59"/>
      <c r="M14" s="59"/>
      <c r="N14" s="59"/>
      <c r="O14" s="59"/>
      <c r="P14" s="59"/>
      <c r="Q14" s="59"/>
      <c r="R14" s="59"/>
    </row>
    <row r="15" spans="1:20" ht="43.5" x14ac:dyDescent="0.7">
      <c r="A15" s="1" t="s">
        <v>1098</v>
      </c>
      <c r="B15" s="1" t="s">
        <v>638</v>
      </c>
      <c r="C15" s="1" t="s">
        <v>849</v>
      </c>
      <c r="D15" s="16" t="s">
        <v>633</v>
      </c>
      <c r="E15" s="16" t="s">
        <v>630</v>
      </c>
      <c r="F15" s="1" t="s">
        <v>493</v>
      </c>
      <c r="G15" s="1" t="s">
        <v>501</v>
      </c>
      <c r="H15" s="16" t="s">
        <v>502</v>
      </c>
      <c r="I15" s="16"/>
      <c r="J15" s="1"/>
      <c r="K15" s="1"/>
    </row>
    <row r="16" spans="1:20" ht="15.25" thickBot="1" x14ac:dyDescent="0.85">
      <c r="A16" s="323">
        <f>'Tribal Measure Tool'!H15</f>
        <v>0</v>
      </c>
      <c r="B16">
        <v>8760</v>
      </c>
      <c r="C16" s="439">
        <v>0.4</v>
      </c>
      <c r="D16">
        <f>(A16*B16*C16)/1000</f>
        <v>0</v>
      </c>
      <c r="E16" s="323">
        <f>'Tribal Measure Tool'!J$15</f>
        <v>0</v>
      </c>
      <c r="F16">
        <f>D16*E16</f>
        <v>0</v>
      </c>
      <c r="G16" s="8">
        <f>F16*$F$1</f>
        <v>0</v>
      </c>
      <c r="H16" s="554">
        <f>G16*Factors!$N$27</f>
        <v>0</v>
      </c>
      <c r="I16" s="16"/>
      <c r="J16" s="1"/>
      <c r="K16" s="1"/>
    </row>
    <row r="17" spans="1:18" x14ac:dyDescent="0.65">
      <c r="A17" s="658">
        <v>0.5</v>
      </c>
      <c r="C17" s="439"/>
      <c r="G17" s="8"/>
      <c r="H17" s="8"/>
      <c r="I17" s="20"/>
    </row>
    <row r="18" spans="1:18" x14ac:dyDescent="0.65">
      <c r="A18" s="659">
        <v>1</v>
      </c>
      <c r="C18" s="439"/>
      <c r="G18" s="8"/>
      <c r="H18" s="8"/>
      <c r="I18" s="20"/>
    </row>
    <row r="19" spans="1:18" ht="14.5" x14ac:dyDescent="0.7">
      <c r="A19" s="659">
        <v>2</v>
      </c>
      <c r="C19" s="439"/>
      <c r="G19" s="8"/>
      <c r="H19" s="8"/>
      <c r="I19" s="20"/>
      <c r="J19" s="1"/>
      <c r="K19" s="1"/>
      <c r="L19" s="1"/>
      <c r="M19" s="1"/>
    </row>
    <row r="20" spans="1:18" ht="14.5" x14ac:dyDescent="0.7">
      <c r="A20" s="659">
        <v>3</v>
      </c>
      <c r="C20" s="439"/>
      <c r="G20" s="8"/>
      <c r="H20" s="8"/>
      <c r="I20" s="20"/>
      <c r="J20" s="1"/>
      <c r="K20" s="1"/>
      <c r="L20" s="1"/>
      <c r="M20" s="1"/>
    </row>
    <row r="21" spans="1:18" ht="14.5" x14ac:dyDescent="0.7">
      <c r="A21" s="659">
        <v>4</v>
      </c>
      <c r="C21" s="439"/>
      <c r="G21" s="8"/>
      <c r="H21" s="8"/>
      <c r="I21" s="20"/>
      <c r="J21" s="1"/>
      <c r="K21" s="1"/>
      <c r="L21" s="1"/>
      <c r="M21" s="1"/>
    </row>
    <row r="22" spans="1:18" ht="14.5" x14ac:dyDescent="0.7">
      <c r="A22" s="659">
        <v>5</v>
      </c>
      <c r="C22" s="439"/>
      <c r="G22" s="8"/>
      <c r="H22" s="8"/>
      <c r="I22" s="20"/>
      <c r="J22" s="1"/>
      <c r="K22" s="1"/>
      <c r="L22" s="1"/>
      <c r="M22" s="1"/>
    </row>
    <row r="23" spans="1:18" ht="14.5" x14ac:dyDescent="0.7">
      <c r="A23" s="659">
        <v>10</v>
      </c>
      <c r="C23" s="439"/>
      <c r="G23" s="8"/>
      <c r="H23" s="8"/>
      <c r="I23" s="20"/>
      <c r="J23" s="1"/>
      <c r="K23" s="1"/>
      <c r="L23" s="1"/>
      <c r="M23" s="1"/>
    </row>
    <row r="24" spans="1:18" ht="14.5" x14ac:dyDescent="0.7">
      <c r="A24" s="659">
        <v>15</v>
      </c>
      <c r="C24" s="439"/>
      <c r="G24" s="8"/>
      <c r="H24" s="8"/>
      <c r="I24" s="20"/>
      <c r="J24" s="1"/>
      <c r="K24" s="1"/>
      <c r="L24" s="1"/>
      <c r="M24" s="1"/>
    </row>
    <row r="25" spans="1:18" ht="14.5" x14ac:dyDescent="0.7">
      <c r="A25" s="659">
        <v>20</v>
      </c>
      <c r="C25" s="439"/>
      <c r="G25" s="8"/>
      <c r="H25" s="8"/>
      <c r="I25" s="20"/>
      <c r="J25" s="1"/>
      <c r="K25" s="1"/>
      <c r="L25" s="1"/>
      <c r="M25" s="1"/>
    </row>
    <row r="26" spans="1:18" ht="14.5" x14ac:dyDescent="0.7">
      <c r="A26" s="659">
        <v>25</v>
      </c>
      <c r="C26" s="439"/>
      <c r="G26" s="8"/>
      <c r="H26" s="8"/>
      <c r="I26" s="20"/>
      <c r="J26" s="1"/>
      <c r="K26" s="1"/>
      <c r="L26" s="1"/>
      <c r="M26" s="1"/>
    </row>
    <row r="27" spans="1:18" ht="14.5" x14ac:dyDescent="0.7">
      <c r="A27" s="659">
        <v>30</v>
      </c>
      <c r="C27" s="439"/>
      <c r="G27" s="8"/>
      <c r="H27" s="8"/>
      <c r="I27" s="20"/>
      <c r="J27" s="1"/>
      <c r="K27" s="1"/>
      <c r="L27" s="1"/>
      <c r="M27" s="1"/>
    </row>
    <row r="28" spans="1:18" ht="14.5" x14ac:dyDescent="0.7">
      <c r="A28" s="659">
        <v>45</v>
      </c>
      <c r="C28" s="439"/>
      <c r="G28" s="8"/>
      <c r="H28" s="8"/>
      <c r="I28" s="20"/>
      <c r="J28" s="1"/>
      <c r="K28" s="1"/>
      <c r="L28" s="1"/>
      <c r="M28" s="1"/>
    </row>
    <row r="29" spans="1:18" ht="15.25" thickBot="1" x14ac:dyDescent="0.85">
      <c r="A29" s="660">
        <v>50</v>
      </c>
      <c r="C29" s="439"/>
      <c r="G29" s="8"/>
      <c r="H29" s="8"/>
      <c r="I29" s="20"/>
      <c r="J29" s="1"/>
      <c r="K29" s="1"/>
      <c r="L29" s="1"/>
      <c r="M29" s="1"/>
    </row>
    <row r="30" spans="1:18" ht="14.5" x14ac:dyDescent="0.7">
      <c r="A30" s="498">
        <v>1</v>
      </c>
      <c r="B30" s="498">
        <v>8760</v>
      </c>
      <c r="C30" s="532">
        <v>0.4</v>
      </c>
      <c r="D30" s="498">
        <f>B30*C30</f>
        <v>3504</v>
      </c>
      <c r="E30" s="498">
        <v>20</v>
      </c>
      <c r="F30" s="498">
        <f>D30*E30</f>
        <v>70080</v>
      </c>
      <c r="G30" s="490">
        <f>F30*I1</f>
        <v>82812593.24602735</v>
      </c>
      <c r="H30" s="490">
        <f>G30*Factors!$N$27</f>
        <v>37563.129795652036</v>
      </c>
      <c r="I30" s="497"/>
      <c r="J30" s="489"/>
      <c r="K30" s="489"/>
      <c r="L30" s="489"/>
      <c r="M30" s="489"/>
      <c r="N30" s="498"/>
      <c r="O30" s="498"/>
      <c r="P30" s="498"/>
      <c r="Q30" s="498"/>
      <c r="R30" s="498"/>
    </row>
    <row r="31" spans="1:18" ht="14.5" x14ac:dyDescent="0.7">
      <c r="E31" s="8"/>
      <c r="F31" s="8"/>
      <c r="G31" s="20"/>
      <c r="H31" s="1"/>
    </row>
    <row r="32" spans="1:18" ht="21" x14ac:dyDescent="0.65">
      <c r="A32" s="331" t="s">
        <v>1089</v>
      </c>
      <c r="B32" s="59"/>
      <c r="C32" s="59"/>
      <c r="D32" s="59"/>
      <c r="E32" s="59"/>
      <c r="F32" s="59"/>
      <c r="G32" s="59"/>
      <c r="H32" s="59"/>
      <c r="I32" s="59"/>
      <c r="J32" s="59"/>
      <c r="K32" s="59"/>
      <c r="L32" s="59"/>
      <c r="M32" s="59"/>
      <c r="N32" s="59"/>
      <c r="O32" s="59" t="s">
        <v>966</v>
      </c>
      <c r="P32" s="59" t="s">
        <v>966</v>
      </c>
      <c r="Q32" s="59"/>
      <c r="R32" s="59"/>
    </row>
    <row r="33" spans="1:18" ht="29" x14ac:dyDescent="0.7">
      <c r="A33" s="1" t="s">
        <v>1097</v>
      </c>
      <c r="B33" s="1" t="s">
        <v>633</v>
      </c>
      <c r="C33" s="16" t="s">
        <v>639</v>
      </c>
      <c r="D33" s="16" t="s">
        <v>856</v>
      </c>
      <c r="E33" s="1" t="s">
        <v>501</v>
      </c>
      <c r="F33" s="16" t="s">
        <v>502</v>
      </c>
      <c r="G33" s="16"/>
      <c r="H33" s="1"/>
      <c r="I33" s="316" t="s">
        <v>964</v>
      </c>
      <c r="J33" s="316" t="s">
        <v>965</v>
      </c>
      <c r="K33" s="1" t="s">
        <v>967</v>
      </c>
      <c r="L33" t="s">
        <v>971</v>
      </c>
      <c r="N33" s="511" t="s">
        <v>1090</v>
      </c>
      <c r="O33" s="316" t="s">
        <v>964</v>
      </c>
      <c r="P33" s="316" t="s">
        <v>965</v>
      </c>
      <c r="Q33" s="316" t="s">
        <v>968</v>
      </c>
      <c r="R33" s="316" t="s">
        <v>969</v>
      </c>
    </row>
    <row r="34" spans="1:18" ht="14.5" x14ac:dyDescent="0.7">
      <c r="E34" t="e">
        <f>C16/E35</f>
        <v>#DIV/0!</v>
      </c>
      <c r="G34" s="16"/>
      <c r="H34" s="1"/>
      <c r="I34" s="316"/>
      <c r="J34" s="316"/>
      <c r="K34" s="1"/>
      <c r="N34" s="511"/>
      <c r="O34" s="316"/>
      <c r="P34" s="316"/>
      <c r="Q34" s="316"/>
      <c r="R34" s="316"/>
    </row>
    <row r="35" spans="1:18" ht="14.5" x14ac:dyDescent="0.7">
      <c r="D35">
        <f>A42*8760/1000</f>
        <v>876</v>
      </c>
      <c r="E35">
        <f>D42/D35</f>
        <v>0</v>
      </c>
      <c r="G35" s="16"/>
      <c r="H35" s="1">
        <v>75</v>
      </c>
      <c r="I35" s="673">
        <v>93568</v>
      </c>
      <c r="J35" s="673">
        <v>99630</v>
      </c>
      <c r="K35" s="351">
        <f>AVERAGE(I35:J35)</f>
        <v>96599</v>
      </c>
      <c r="L35" s="8">
        <f t="shared" ref="L35:L41" si="0">K35/1000</f>
        <v>96.599000000000004</v>
      </c>
      <c r="N35" s="511"/>
      <c r="O35" s="316"/>
      <c r="P35" s="316"/>
      <c r="Q35" s="316"/>
      <c r="R35" s="316"/>
    </row>
    <row r="36" spans="1:18" ht="14.5" x14ac:dyDescent="0.7">
      <c r="A36" s="323">
        <v>10</v>
      </c>
      <c r="B36" s="351">
        <f>R39</f>
        <v>12.884499999999999</v>
      </c>
      <c r="C36" s="323">
        <f>'Tribal Measure Tool'!$J$16</f>
        <v>0</v>
      </c>
      <c r="D36" s="8">
        <f t="shared" ref="D36:D56" si="1">B36*C36</f>
        <v>0</v>
      </c>
      <c r="E36" s="8">
        <f t="shared" ref="E36:E47" si="2">D36*$F$1</f>
        <v>0</v>
      </c>
      <c r="F36" s="8">
        <f>E36*Factors!$N$27</f>
        <v>0</v>
      </c>
      <c r="G36" s="16"/>
      <c r="H36" s="1">
        <v>100</v>
      </c>
      <c r="I36" s="673">
        <v>124752</v>
      </c>
      <c r="J36" s="673">
        <v>132832</v>
      </c>
      <c r="K36" s="351">
        <f t="shared" ref="K36:K41" si="3">AVERAGE(I36:J36)</f>
        <v>128792</v>
      </c>
      <c r="L36" s="8">
        <f t="shared" si="0"/>
        <v>128.792</v>
      </c>
      <c r="N36" s="511"/>
      <c r="O36" s="316"/>
      <c r="P36" s="316"/>
      <c r="Q36" s="316"/>
      <c r="R36" s="316"/>
    </row>
    <row r="37" spans="1:18" ht="14.5" x14ac:dyDescent="0.7">
      <c r="A37" s="323">
        <v>20</v>
      </c>
      <c r="B37" s="351">
        <f>R41</f>
        <v>25.767499999999998</v>
      </c>
      <c r="C37" s="323">
        <f>'Tribal Measure Tool'!$J$16</f>
        <v>0</v>
      </c>
      <c r="D37" s="8">
        <f t="shared" si="1"/>
        <v>0</v>
      </c>
      <c r="E37" s="8">
        <f t="shared" si="2"/>
        <v>0</v>
      </c>
      <c r="F37" s="8">
        <f>E37*Factors!$N$27</f>
        <v>0</v>
      </c>
      <c r="G37" s="16"/>
      <c r="H37" s="1">
        <v>150</v>
      </c>
      <c r="I37" s="673">
        <v>187080</v>
      </c>
      <c r="J37" s="673">
        <v>199185</v>
      </c>
      <c r="K37" s="351">
        <f t="shared" si="3"/>
        <v>193132.5</v>
      </c>
      <c r="L37" s="8">
        <f t="shared" si="0"/>
        <v>193.13249999999999</v>
      </c>
      <c r="N37" s="511"/>
      <c r="O37" s="316"/>
      <c r="P37" s="316"/>
      <c r="Q37" s="316"/>
      <c r="R37" s="316"/>
    </row>
    <row r="38" spans="1:18" ht="14.5" x14ac:dyDescent="0.7">
      <c r="A38" s="323">
        <v>30</v>
      </c>
      <c r="B38" s="351">
        <f>R43</f>
        <v>38.646999999999998</v>
      </c>
      <c r="C38" s="323">
        <f>'Tribal Measure Tool'!$J$16</f>
        <v>0</v>
      </c>
      <c r="D38" s="8">
        <f t="shared" si="1"/>
        <v>0</v>
      </c>
      <c r="E38" s="8">
        <f t="shared" si="2"/>
        <v>0</v>
      </c>
      <c r="F38" s="8">
        <f>E38*Factors!$N$27</f>
        <v>0</v>
      </c>
      <c r="G38" s="16"/>
      <c r="H38" s="1">
        <v>200</v>
      </c>
      <c r="I38" s="673">
        <v>249436</v>
      </c>
      <c r="J38" s="673">
        <v>265574</v>
      </c>
      <c r="K38" s="351">
        <f t="shared" si="3"/>
        <v>257505</v>
      </c>
      <c r="L38" s="8">
        <f t="shared" si="0"/>
        <v>257.505</v>
      </c>
      <c r="N38" s="511"/>
      <c r="O38" s="316"/>
      <c r="P38" s="316"/>
      <c r="Q38" s="316"/>
      <c r="R38" s="316"/>
    </row>
    <row r="39" spans="1:18" ht="14.5" x14ac:dyDescent="0.7">
      <c r="A39" s="323">
        <v>40</v>
      </c>
      <c r="B39" s="351">
        <f>R45</f>
        <v>51.526000000000003</v>
      </c>
      <c r="C39" s="323">
        <f>'Tribal Measure Tool'!$J$16</f>
        <v>0</v>
      </c>
      <c r="D39" s="8">
        <f t="shared" si="1"/>
        <v>0</v>
      </c>
      <c r="E39" s="8">
        <f t="shared" si="2"/>
        <v>0</v>
      </c>
      <c r="F39" s="8">
        <f>E39*Factors!$N$27</f>
        <v>0</v>
      </c>
      <c r="G39" s="16"/>
      <c r="H39" s="1">
        <v>250</v>
      </c>
      <c r="I39" s="673">
        <v>311792</v>
      </c>
      <c r="J39" s="673">
        <v>331965</v>
      </c>
      <c r="K39" s="351">
        <f t="shared" si="3"/>
        <v>321878.5</v>
      </c>
      <c r="L39" s="8">
        <f t="shared" si="0"/>
        <v>321.87849999999997</v>
      </c>
      <c r="N39" s="323">
        <v>10</v>
      </c>
      <c r="O39">
        <v>12480</v>
      </c>
      <c r="P39">
        <v>13289</v>
      </c>
      <c r="Q39">
        <f t="shared" ref="Q39:Q47" si="4">AVERAGE(O39:P39)</f>
        <v>12884.5</v>
      </c>
      <c r="R39">
        <f t="shared" ref="R39:R47" si="5">Q39/1000</f>
        <v>12.884499999999999</v>
      </c>
    </row>
    <row r="40" spans="1:18" ht="14.5" x14ac:dyDescent="0.7">
      <c r="A40" s="323">
        <v>50</v>
      </c>
      <c r="B40" s="351">
        <f>R47</f>
        <v>64.404499999999999</v>
      </c>
      <c r="C40" s="323">
        <f>'Tribal Measure Tool'!$J$16</f>
        <v>0</v>
      </c>
      <c r="D40" s="8">
        <f>B40*C40</f>
        <v>0</v>
      </c>
      <c r="E40" s="8">
        <f t="shared" si="2"/>
        <v>0</v>
      </c>
      <c r="F40" s="8">
        <f>E40*Factors!$N$27</f>
        <v>0</v>
      </c>
      <c r="G40" s="16"/>
      <c r="H40" s="1">
        <v>300</v>
      </c>
      <c r="I40" s="673">
        <v>374148</v>
      </c>
      <c r="J40" s="673">
        <v>398354</v>
      </c>
      <c r="K40" s="351">
        <f t="shared" si="3"/>
        <v>386251</v>
      </c>
      <c r="L40" s="8">
        <f t="shared" si="0"/>
        <v>386.25099999999998</v>
      </c>
      <c r="N40" s="323">
        <v>15</v>
      </c>
      <c r="O40">
        <v>18720</v>
      </c>
      <c r="P40">
        <v>19933</v>
      </c>
      <c r="Q40">
        <f t="shared" si="4"/>
        <v>19326.5</v>
      </c>
      <c r="R40">
        <f t="shared" si="5"/>
        <v>19.326499999999999</v>
      </c>
    </row>
    <row r="41" spans="1:18" ht="14.5" x14ac:dyDescent="0.7">
      <c r="A41" s="323">
        <v>75</v>
      </c>
      <c r="B41" s="351">
        <f>L35</f>
        <v>96.599000000000004</v>
      </c>
      <c r="C41" s="323">
        <f>'Tribal Measure Tool'!$J$16</f>
        <v>0</v>
      </c>
      <c r="D41" s="8">
        <f t="shared" si="1"/>
        <v>0</v>
      </c>
      <c r="E41" s="8">
        <f t="shared" si="2"/>
        <v>0</v>
      </c>
      <c r="F41" s="8">
        <f>E41*Factors!$N$27</f>
        <v>0</v>
      </c>
      <c r="G41" s="16"/>
      <c r="H41" s="1">
        <v>400</v>
      </c>
      <c r="I41" s="673">
        <v>498859</v>
      </c>
      <c r="J41" s="673">
        <v>531134</v>
      </c>
      <c r="K41" s="351">
        <f t="shared" si="3"/>
        <v>514996.5</v>
      </c>
      <c r="L41" s="8">
        <f t="shared" si="0"/>
        <v>514.99649999999997</v>
      </c>
      <c r="N41" s="323">
        <v>20</v>
      </c>
      <c r="O41">
        <v>24959</v>
      </c>
      <c r="P41">
        <v>26576</v>
      </c>
      <c r="Q41">
        <f t="shared" si="4"/>
        <v>25767.5</v>
      </c>
      <c r="R41">
        <f t="shared" si="5"/>
        <v>25.767499999999998</v>
      </c>
    </row>
    <row r="42" spans="1:18" ht="14.5" x14ac:dyDescent="0.7">
      <c r="A42" s="323">
        <v>100</v>
      </c>
      <c r="B42" s="351">
        <f>L36</f>
        <v>128.792</v>
      </c>
      <c r="C42" s="323">
        <f>'Tribal Measure Tool'!$J$16</f>
        <v>0</v>
      </c>
      <c r="D42" s="8">
        <f t="shared" si="1"/>
        <v>0</v>
      </c>
      <c r="E42" s="8">
        <f t="shared" si="2"/>
        <v>0</v>
      </c>
      <c r="F42" s="8">
        <f>E42*Factors!$N$27</f>
        <v>0</v>
      </c>
      <c r="G42" s="16"/>
      <c r="H42" s="1"/>
      <c r="I42" s="316"/>
      <c r="J42" s="316"/>
      <c r="K42" s="1"/>
      <c r="N42" s="323">
        <v>25</v>
      </c>
      <c r="O42">
        <v>31197</v>
      </c>
      <c r="P42">
        <v>33219</v>
      </c>
      <c r="Q42">
        <f t="shared" si="4"/>
        <v>32208</v>
      </c>
      <c r="R42">
        <f t="shared" si="5"/>
        <v>32.207999999999998</v>
      </c>
    </row>
    <row r="43" spans="1:18" ht="14.5" x14ac:dyDescent="0.7">
      <c r="A43" s="323">
        <v>150</v>
      </c>
      <c r="B43" s="351">
        <f t="shared" ref="B43:B47" si="6">L37</f>
        <v>193.13249999999999</v>
      </c>
      <c r="C43" s="323">
        <f>'Tribal Measure Tool'!$J$16</f>
        <v>0</v>
      </c>
      <c r="D43" s="8">
        <f t="shared" si="1"/>
        <v>0</v>
      </c>
      <c r="E43" s="8">
        <f t="shared" si="2"/>
        <v>0</v>
      </c>
      <c r="F43" s="8">
        <f>E43*Factors!$N$27</f>
        <v>0</v>
      </c>
      <c r="G43" s="16"/>
      <c r="H43" s="1"/>
      <c r="I43" s="316"/>
      <c r="J43" s="316"/>
      <c r="K43" s="1"/>
      <c r="N43" s="323">
        <v>30</v>
      </c>
      <c r="O43">
        <v>37434</v>
      </c>
      <c r="P43">
        <v>39860</v>
      </c>
      <c r="Q43">
        <f t="shared" si="4"/>
        <v>38647</v>
      </c>
      <c r="R43">
        <f t="shared" si="5"/>
        <v>38.646999999999998</v>
      </c>
    </row>
    <row r="44" spans="1:18" ht="14.5" x14ac:dyDescent="0.7">
      <c r="A44" s="323">
        <v>200</v>
      </c>
      <c r="B44" s="351">
        <f t="shared" si="6"/>
        <v>257.505</v>
      </c>
      <c r="C44" s="323">
        <f>'Tribal Measure Tool'!$J$16</f>
        <v>0</v>
      </c>
      <c r="D44" s="8">
        <f t="shared" si="1"/>
        <v>0</v>
      </c>
      <c r="E44" s="8">
        <f t="shared" si="2"/>
        <v>0</v>
      </c>
      <c r="F44" s="8">
        <f>E44*Factors!$N$27</f>
        <v>0</v>
      </c>
      <c r="G44" s="16"/>
      <c r="H44" s="1"/>
      <c r="I44" s="316"/>
      <c r="J44" s="316"/>
      <c r="K44" s="1"/>
      <c r="N44" s="323">
        <v>35</v>
      </c>
      <c r="O44">
        <v>43672</v>
      </c>
      <c r="P44">
        <v>46501</v>
      </c>
      <c r="Q44">
        <f t="shared" si="4"/>
        <v>45086.5</v>
      </c>
      <c r="R44">
        <f t="shared" si="5"/>
        <v>45.086500000000001</v>
      </c>
    </row>
    <row r="45" spans="1:18" ht="14.5" x14ac:dyDescent="0.7">
      <c r="A45" s="323">
        <v>250</v>
      </c>
      <c r="B45" s="351">
        <f t="shared" si="6"/>
        <v>321.87849999999997</v>
      </c>
      <c r="C45" s="323">
        <f>'Tribal Measure Tool'!$J$16</f>
        <v>0</v>
      </c>
      <c r="D45" s="8">
        <f t="shared" si="1"/>
        <v>0</v>
      </c>
      <c r="E45" s="8">
        <f t="shared" si="2"/>
        <v>0</v>
      </c>
      <c r="F45" s="8">
        <f>E45*Factors!$N$27</f>
        <v>0</v>
      </c>
      <c r="G45" s="16"/>
      <c r="H45" s="1"/>
      <c r="I45" s="316"/>
      <c r="J45" s="316"/>
      <c r="K45" s="1"/>
      <c r="N45" s="323">
        <v>40</v>
      </c>
      <c r="O45">
        <v>49909</v>
      </c>
      <c r="P45">
        <v>53143</v>
      </c>
      <c r="Q45">
        <f t="shared" si="4"/>
        <v>51526</v>
      </c>
      <c r="R45">
        <f t="shared" si="5"/>
        <v>51.526000000000003</v>
      </c>
    </row>
    <row r="46" spans="1:18" ht="14.5" x14ac:dyDescent="0.7">
      <c r="A46" s="323">
        <v>300</v>
      </c>
      <c r="B46" s="351">
        <f t="shared" si="6"/>
        <v>386.25099999999998</v>
      </c>
      <c r="C46" s="323">
        <f>'Tribal Measure Tool'!$J$16</f>
        <v>0</v>
      </c>
      <c r="D46" s="8">
        <f t="shared" si="1"/>
        <v>0</v>
      </c>
      <c r="E46" s="8">
        <f t="shared" si="2"/>
        <v>0</v>
      </c>
      <c r="F46" s="8">
        <f>E46*Factors!$N$27</f>
        <v>0</v>
      </c>
      <c r="G46" s="8"/>
      <c r="H46" s="323">
        <v>0.5</v>
      </c>
      <c r="I46" s="1">
        <v>623570</v>
      </c>
      <c r="J46" s="1">
        <v>663912</v>
      </c>
      <c r="K46" s="1">
        <f t="shared" ref="K46:K51" si="7">AVERAGE(I46:J46)</f>
        <v>643741</v>
      </c>
      <c r="L46">
        <f t="shared" ref="L46:L51" si="8">K46/1000</f>
        <v>643.74099999999999</v>
      </c>
      <c r="N46" s="323">
        <v>45</v>
      </c>
      <c r="O46">
        <v>56146</v>
      </c>
      <c r="P46">
        <v>59784</v>
      </c>
      <c r="Q46">
        <f t="shared" si="4"/>
        <v>57965</v>
      </c>
      <c r="R46">
        <f t="shared" si="5"/>
        <v>57.965000000000003</v>
      </c>
    </row>
    <row r="47" spans="1:18" ht="14.5" x14ac:dyDescent="0.7">
      <c r="A47" s="323">
        <v>400</v>
      </c>
      <c r="B47" s="351">
        <f t="shared" si="6"/>
        <v>514.99649999999997</v>
      </c>
      <c r="C47" s="323">
        <f>'Tribal Measure Tool'!$J$16</f>
        <v>0</v>
      </c>
      <c r="D47" s="8">
        <f t="shared" si="1"/>
        <v>0</v>
      </c>
      <c r="E47" s="8">
        <f t="shared" si="2"/>
        <v>0</v>
      </c>
      <c r="F47" s="8">
        <f>E47*Factors!$N$27</f>
        <v>0</v>
      </c>
      <c r="G47" s="8"/>
      <c r="H47" s="323">
        <v>1</v>
      </c>
      <c r="I47">
        <v>1247119</v>
      </c>
      <c r="J47">
        <v>1327797</v>
      </c>
      <c r="K47" s="1">
        <f t="shared" si="7"/>
        <v>1287458</v>
      </c>
      <c r="L47">
        <f t="shared" si="8"/>
        <v>1287.4580000000001</v>
      </c>
      <c r="N47" s="323">
        <v>50</v>
      </c>
      <c r="O47">
        <v>62384</v>
      </c>
      <c r="P47">
        <v>66425</v>
      </c>
      <c r="Q47">
        <f t="shared" si="4"/>
        <v>64404.5</v>
      </c>
      <c r="R47">
        <f t="shared" si="5"/>
        <v>64.404499999999999</v>
      </c>
    </row>
    <row r="48" spans="1:18" ht="14.5" x14ac:dyDescent="0.7">
      <c r="A48" s="323">
        <v>500</v>
      </c>
      <c r="B48" s="8">
        <f t="shared" ref="B48:B53" si="9">L46</f>
        <v>643.74099999999999</v>
      </c>
      <c r="C48" s="323">
        <f>'Tribal Measure Tool'!$J$16</f>
        <v>0</v>
      </c>
      <c r="D48" s="8">
        <f t="shared" si="1"/>
        <v>0</v>
      </c>
      <c r="E48" s="8">
        <f t="shared" ref="E48:E58" si="10">D48*$F$1</f>
        <v>0</v>
      </c>
      <c r="F48" s="8">
        <f>E48*Factors!$N$27</f>
        <v>0</v>
      </c>
      <c r="G48" s="8"/>
      <c r="H48" s="323">
        <v>2</v>
      </c>
      <c r="I48">
        <v>2494208</v>
      </c>
      <c r="J48">
        <v>2655557</v>
      </c>
      <c r="K48" s="1">
        <f t="shared" si="7"/>
        <v>2574882.5</v>
      </c>
      <c r="L48">
        <f t="shared" si="8"/>
        <v>2574.8825000000002</v>
      </c>
    </row>
    <row r="49" spans="1:18" ht="14.5" x14ac:dyDescent="0.7">
      <c r="A49" s="679">
        <v>1000</v>
      </c>
      <c r="B49" s="8">
        <f t="shared" si="9"/>
        <v>1287.4580000000001</v>
      </c>
      <c r="C49" s="323">
        <f>'Tribal Measure Tool'!$J$16</f>
        <v>0</v>
      </c>
      <c r="D49" s="8">
        <f t="shared" si="1"/>
        <v>0</v>
      </c>
      <c r="E49" s="8">
        <f t="shared" si="10"/>
        <v>0</v>
      </c>
      <c r="F49" s="8">
        <f>E49*Factors!$N$27</f>
        <v>0</v>
      </c>
      <c r="G49" s="8"/>
      <c r="H49" s="323">
        <v>3</v>
      </c>
      <c r="I49">
        <v>3741292</v>
      </c>
      <c r="J49">
        <v>3983311</v>
      </c>
      <c r="K49" s="1">
        <f t="shared" si="7"/>
        <v>3862301.5</v>
      </c>
      <c r="L49">
        <f t="shared" si="8"/>
        <v>3862.3015</v>
      </c>
    </row>
    <row r="50" spans="1:18" ht="14.5" x14ac:dyDescent="0.7">
      <c r="A50" s="679">
        <v>2000</v>
      </c>
      <c r="B50" s="8">
        <f t="shared" si="9"/>
        <v>2574.8825000000002</v>
      </c>
      <c r="C50" s="323">
        <f>'Tribal Measure Tool'!$J$16</f>
        <v>0</v>
      </c>
      <c r="D50" s="8">
        <f t="shared" si="1"/>
        <v>0</v>
      </c>
      <c r="E50" s="8">
        <f t="shared" si="10"/>
        <v>0</v>
      </c>
      <c r="F50" s="8">
        <f>E50*Factors!$N$27</f>
        <v>0</v>
      </c>
      <c r="G50" s="8"/>
      <c r="H50" s="323">
        <v>4</v>
      </c>
      <c r="I50">
        <v>4988374</v>
      </c>
      <c r="J50">
        <v>5311062</v>
      </c>
      <c r="K50" s="1">
        <f t="shared" si="7"/>
        <v>5149718</v>
      </c>
      <c r="L50">
        <f t="shared" si="8"/>
        <v>5149.7179999999998</v>
      </c>
    </row>
    <row r="51" spans="1:18" ht="14.5" x14ac:dyDescent="0.7">
      <c r="A51" s="679">
        <v>3000</v>
      </c>
      <c r="B51" s="8">
        <f t="shared" si="9"/>
        <v>3862.3015</v>
      </c>
      <c r="C51" s="323">
        <f>'Tribal Measure Tool'!$J$16</f>
        <v>0</v>
      </c>
      <c r="D51" s="8">
        <f t="shared" si="1"/>
        <v>0</v>
      </c>
      <c r="E51" s="8">
        <f t="shared" si="10"/>
        <v>0</v>
      </c>
      <c r="F51" s="8">
        <f>E51*Factors!$N$27</f>
        <v>0</v>
      </c>
      <c r="G51" s="8"/>
      <c r="H51" s="323">
        <v>5</v>
      </c>
      <c r="I51">
        <v>6235454</v>
      </c>
      <c r="J51">
        <v>6638810</v>
      </c>
      <c r="K51" s="1">
        <f t="shared" si="7"/>
        <v>6437132</v>
      </c>
      <c r="L51">
        <f t="shared" si="8"/>
        <v>6437.1319999999996</v>
      </c>
    </row>
    <row r="52" spans="1:18" ht="14.5" x14ac:dyDescent="0.7">
      <c r="A52" s="679">
        <v>4000</v>
      </c>
      <c r="B52" s="8">
        <f t="shared" si="9"/>
        <v>5149.7179999999998</v>
      </c>
      <c r="C52" s="323">
        <f>'Tribal Measure Tool'!$J$16</f>
        <v>0</v>
      </c>
      <c r="D52" s="8">
        <f t="shared" si="1"/>
        <v>0</v>
      </c>
      <c r="E52" s="8">
        <f t="shared" si="10"/>
        <v>0</v>
      </c>
      <c r="F52" s="8">
        <f>E52*Factors!$N$27</f>
        <v>0</v>
      </c>
      <c r="G52" s="8"/>
      <c r="H52" s="323">
        <v>6</v>
      </c>
      <c r="K52" s="1"/>
      <c r="L52" s="1"/>
    </row>
    <row r="53" spans="1:18" ht="14.5" x14ac:dyDescent="0.7">
      <c r="A53" s="679">
        <v>5000</v>
      </c>
      <c r="B53" s="8">
        <f t="shared" si="9"/>
        <v>6437.1319999999996</v>
      </c>
      <c r="C53" s="323">
        <f>'Tribal Measure Tool'!$J$16</f>
        <v>0</v>
      </c>
      <c r="D53" s="8">
        <f t="shared" si="1"/>
        <v>0</v>
      </c>
      <c r="E53" s="8">
        <f t="shared" si="10"/>
        <v>0</v>
      </c>
      <c r="F53" s="8">
        <f>E53*Factors!$N$27</f>
        <v>0</v>
      </c>
      <c r="G53" s="8"/>
      <c r="H53" s="323">
        <v>7</v>
      </c>
      <c r="K53" s="1"/>
      <c r="L53" s="1"/>
    </row>
    <row r="54" spans="1:18" ht="14.5" x14ac:dyDescent="0.7">
      <c r="A54" s="679">
        <v>10000</v>
      </c>
      <c r="B54" s="8">
        <f>L54</f>
        <v>12874.188</v>
      </c>
      <c r="C54" s="323">
        <f>'Tribal Measure Tool'!$J$16</f>
        <v>0</v>
      </c>
      <c r="D54" s="8">
        <f t="shared" si="1"/>
        <v>0</v>
      </c>
      <c r="E54" s="8">
        <f t="shared" si="10"/>
        <v>0</v>
      </c>
      <c r="F54" s="8">
        <f>E54*Factors!$N$27</f>
        <v>0</v>
      </c>
      <c r="G54" s="8"/>
      <c r="H54" s="323">
        <v>10</v>
      </c>
      <c r="I54">
        <v>12470840</v>
      </c>
      <c r="J54">
        <v>13277536</v>
      </c>
      <c r="K54" s="1">
        <f>AVERAGE(I54:J54)</f>
        <v>12874188</v>
      </c>
      <c r="L54">
        <f>K54/1000</f>
        <v>12874.188</v>
      </c>
    </row>
    <row r="55" spans="1:18" ht="14.5" x14ac:dyDescent="0.7">
      <c r="A55" s="679">
        <v>15000</v>
      </c>
      <c r="B55" s="8">
        <f>L55</f>
        <v>19311.232499999998</v>
      </c>
      <c r="C55" s="323">
        <f>'Tribal Measure Tool'!$J$16</f>
        <v>0</v>
      </c>
      <c r="D55" s="8">
        <f t="shared" si="1"/>
        <v>0</v>
      </c>
      <c r="E55" s="8">
        <f t="shared" si="10"/>
        <v>0</v>
      </c>
      <c r="F55" s="8">
        <f>E55*Factors!$N$27</f>
        <v>0</v>
      </c>
      <c r="G55" s="8"/>
      <c r="H55" s="323">
        <v>15</v>
      </c>
      <c r="I55">
        <v>18706216</v>
      </c>
      <c r="J55">
        <v>19916249</v>
      </c>
      <c r="K55" s="1">
        <f>AVERAGE(I55:J55)</f>
        <v>19311232.5</v>
      </c>
      <c r="L55">
        <f>K55/1000</f>
        <v>19311.232499999998</v>
      </c>
    </row>
    <row r="56" spans="1:18" ht="14.5" x14ac:dyDescent="0.7">
      <c r="A56" s="679">
        <v>20000</v>
      </c>
      <c r="B56" s="8">
        <f>L56</f>
        <v>25748.271000000001</v>
      </c>
      <c r="C56" s="323">
        <f>'Tribal Measure Tool'!$J$16</f>
        <v>0</v>
      </c>
      <c r="D56" s="8">
        <f t="shared" si="1"/>
        <v>0</v>
      </c>
      <c r="E56" s="8">
        <f t="shared" si="10"/>
        <v>0</v>
      </c>
      <c r="F56" s="8">
        <f>E56*Factors!$N$27</f>
        <v>0</v>
      </c>
      <c r="G56" s="8"/>
      <c r="H56" s="323">
        <v>20</v>
      </c>
      <c r="I56">
        <v>24941587</v>
      </c>
      <c r="J56">
        <v>26554955</v>
      </c>
      <c r="K56" s="1">
        <f>AVERAGE(I56:J56)</f>
        <v>25748271</v>
      </c>
      <c r="L56">
        <f>K56/1000</f>
        <v>25748.271000000001</v>
      </c>
    </row>
    <row r="57" spans="1:18" x14ac:dyDescent="0.65">
      <c r="A57" s="679">
        <v>25000</v>
      </c>
      <c r="B57" s="183">
        <v>33266.646000000001</v>
      </c>
      <c r="C57" s="323">
        <f>'Tribal Measure Tool'!$J$16</f>
        <v>0</v>
      </c>
      <c r="D57" s="8">
        <f>B57*C57</f>
        <v>0</v>
      </c>
      <c r="E57" s="8">
        <f t="shared" si="10"/>
        <v>0</v>
      </c>
      <c r="F57" s="8">
        <f>E57*Factors!$N$27</f>
        <v>0</v>
      </c>
      <c r="G57" s="8"/>
      <c r="H57" s="323">
        <v>25</v>
      </c>
      <c r="I57">
        <v>31176953</v>
      </c>
      <c r="J57">
        <v>33193656</v>
      </c>
      <c r="K57">
        <f>AVERAGE(I57:J57)</f>
        <v>32185304.5</v>
      </c>
      <c r="L57">
        <f>K57/1000</f>
        <v>32185.304499999998</v>
      </c>
    </row>
    <row r="58" spans="1:18" x14ac:dyDescent="0.65">
      <c r="A58" s="679">
        <v>30000</v>
      </c>
      <c r="B58" s="183">
        <v>39919.942999999999</v>
      </c>
      <c r="C58" s="323">
        <f>'Tribal Measure Tool'!$J$16</f>
        <v>0</v>
      </c>
      <c r="D58" s="8">
        <f>B58*C58</f>
        <v>0</v>
      </c>
      <c r="E58" s="8">
        <f t="shared" si="10"/>
        <v>0</v>
      </c>
      <c r="F58" s="8">
        <f>E58*Factors!$N$27</f>
        <v>0</v>
      </c>
      <c r="G58" s="8"/>
      <c r="H58" s="323">
        <v>30</v>
      </c>
      <c r="I58">
        <v>37412318</v>
      </c>
      <c r="J58">
        <v>39832354</v>
      </c>
      <c r="K58">
        <f>AVERAGE(I58:J58)</f>
        <v>38622336</v>
      </c>
      <c r="L58">
        <f>K58/1000</f>
        <v>38622.336000000003</v>
      </c>
    </row>
    <row r="59" spans="1:18" ht="14.5" x14ac:dyDescent="0.7">
      <c r="B59" s="183"/>
      <c r="D59" s="8"/>
      <c r="E59" s="8"/>
      <c r="F59" s="8"/>
      <c r="H59" s="1" t="s">
        <v>932</v>
      </c>
      <c r="K59" s="18" t="s">
        <v>857</v>
      </c>
    </row>
    <row r="60" spans="1:18" x14ac:dyDescent="0.65">
      <c r="A60" s="644">
        <v>1000</v>
      </c>
      <c r="B60" s="527">
        <f>B49</f>
        <v>1287.4580000000001</v>
      </c>
      <c r="C60" s="498">
        <v>20</v>
      </c>
      <c r="D60" s="498">
        <f>C60*B60</f>
        <v>25749.160000000003</v>
      </c>
      <c r="E60" s="490">
        <f>D60*I1</f>
        <v>30427435.980406366</v>
      </c>
      <c r="F60" s="490">
        <f>E60*Factors!$N$27</f>
        <v>13801.641541224484</v>
      </c>
      <c r="G60" s="498"/>
      <c r="H60" s="498"/>
      <c r="I60" s="498"/>
      <c r="J60" s="498"/>
      <c r="K60" s="498"/>
      <c r="L60" s="498"/>
      <c r="M60" s="498"/>
      <c r="N60" s="498"/>
      <c r="O60" s="498"/>
      <c r="P60" s="498"/>
      <c r="Q60" s="498"/>
      <c r="R60" s="498"/>
    </row>
    <row r="62" spans="1:18" ht="21" x14ac:dyDescent="0.65">
      <c r="A62" s="331" t="s">
        <v>817</v>
      </c>
      <c r="B62" s="59"/>
      <c r="C62" s="59"/>
      <c r="D62" s="59"/>
      <c r="E62" s="59"/>
      <c r="F62" s="59"/>
      <c r="G62" s="59"/>
      <c r="H62" s="59"/>
      <c r="I62" s="59"/>
      <c r="J62" s="59"/>
      <c r="K62" s="59"/>
      <c r="L62" s="59"/>
      <c r="M62" s="59"/>
      <c r="N62" s="59"/>
      <c r="O62" s="59"/>
      <c r="P62" s="59"/>
      <c r="Q62" s="59"/>
      <c r="R62" s="59"/>
    </row>
    <row r="63" spans="1:18" ht="43.5" x14ac:dyDescent="0.7">
      <c r="A63" s="16" t="s">
        <v>1101</v>
      </c>
      <c r="B63" s="1" t="s">
        <v>849</v>
      </c>
      <c r="C63" s="16" t="s">
        <v>855</v>
      </c>
      <c r="D63" s="16" t="s">
        <v>856</v>
      </c>
      <c r="E63" s="1" t="s">
        <v>858</v>
      </c>
      <c r="F63" s="16" t="s">
        <v>859</v>
      </c>
      <c r="G63" s="1"/>
    </row>
    <row r="64" spans="1:18" ht="14.5" x14ac:dyDescent="0.7">
      <c r="A64" s="543">
        <f>'Tribal Measure Tool'!H17</f>
        <v>0</v>
      </c>
      <c r="B64" s="544">
        <v>0.36299999999999999</v>
      </c>
      <c r="C64" s="543">
        <f>'Tribal Measure Tool'!$J$17</f>
        <v>0</v>
      </c>
      <c r="D64" s="545">
        <f>8760*A64*B64*C64/1000</f>
        <v>0</v>
      </c>
      <c r="E64" s="545">
        <f t="shared" ref="E64:E73" si="11">D64*F$1</f>
        <v>0</v>
      </c>
      <c r="F64" s="546">
        <f>E64*Factors!N$27</f>
        <v>0</v>
      </c>
      <c r="G64" s="1"/>
      <c r="H64" s="323">
        <v>3</v>
      </c>
    </row>
    <row r="65" spans="1:18" x14ac:dyDescent="0.65">
      <c r="A65" s="674">
        <v>100</v>
      </c>
      <c r="B65" s="675">
        <v>0.36299999999999999</v>
      </c>
      <c r="C65" s="676">
        <f>'Tribal Measure Tool'!$J$17</f>
        <v>0</v>
      </c>
      <c r="D65" s="677">
        <f>8760*A65*B65*C65/1000</f>
        <v>0</v>
      </c>
      <c r="E65" s="677">
        <f t="shared" si="11"/>
        <v>0</v>
      </c>
      <c r="F65" s="678">
        <f>E65*Factors!N$27</f>
        <v>0</v>
      </c>
      <c r="G65" s="674"/>
      <c r="H65" s="674">
        <v>4</v>
      </c>
    </row>
    <row r="66" spans="1:18" x14ac:dyDescent="0.65">
      <c r="A66" s="674">
        <v>250</v>
      </c>
      <c r="B66" s="675">
        <v>0.36299999999999999</v>
      </c>
      <c r="C66" s="676">
        <f>'Tribal Measure Tool'!$J$17</f>
        <v>0</v>
      </c>
      <c r="D66" s="677">
        <f t="shared" ref="D66:D73" si="12">8760*A66*B66*C66/1000</f>
        <v>0</v>
      </c>
      <c r="E66" s="677">
        <f t="shared" si="11"/>
        <v>0</v>
      </c>
      <c r="F66" s="678">
        <f>E66*Factors!N$27</f>
        <v>0</v>
      </c>
      <c r="G66" s="674"/>
      <c r="H66" s="674">
        <v>5</v>
      </c>
    </row>
    <row r="67" spans="1:18" x14ac:dyDescent="0.65">
      <c r="A67" s="674">
        <v>500</v>
      </c>
      <c r="B67" s="675">
        <v>0.36299999999999999</v>
      </c>
      <c r="C67" s="676">
        <f>'Tribal Measure Tool'!$J$17</f>
        <v>0</v>
      </c>
      <c r="D67" s="677">
        <f t="shared" si="12"/>
        <v>0</v>
      </c>
      <c r="E67" s="677">
        <f t="shared" si="11"/>
        <v>0</v>
      </c>
      <c r="F67" s="678">
        <f>E67*Factors!N$27</f>
        <v>0</v>
      </c>
      <c r="G67" s="674"/>
      <c r="H67" s="674">
        <v>6</v>
      </c>
    </row>
    <row r="68" spans="1:18" x14ac:dyDescent="0.65">
      <c r="A68" s="674">
        <v>1000</v>
      </c>
      <c r="B68" s="675">
        <v>0.36299999999999999</v>
      </c>
      <c r="C68" s="676">
        <f>'Tribal Measure Tool'!$J$17</f>
        <v>0</v>
      </c>
      <c r="D68" s="677">
        <f>8760*A68*B68*C68/1000</f>
        <v>0</v>
      </c>
      <c r="E68" s="677">
        <f t="shared" si="11"/>
        <v>0</v>
      </c>
      <c r="F68" s="678">
        <f>E68*Factors!N$27</f>
        <v>0</v>
      </c>
      <c r="G68" s="674"/>
      <c r="H68" s="674">
        <v>7</v>
      </c>
    </row>
    <row r="69" spans="1:18" x14ac:dyDescent="0.65">
      <c r="A69" s="674">
        <v>2000</v>
      </c>
      <c r="B69" s="675">
        <v>0.36299999999999999</v>
      </c>
      <c r="C69" s="676">
        <f>'Tribal Measure Tool'!$J$17</f>
        <v>0</v>
      </c>
      <c r="D69" s="677">
        <f t="shared" si="12"/>
        <v>0</v>
      </c>
      <c r="E69" s="677">
        <f t="shared" si="11"/>
        <v>0</v>
      </c>
      <c r="F69" s="678">
        <f>E69*Factors!N$27</f>
        <v>0</v>
      </c>
      <c r="G69" s="674"/>
      <c r="H69" s="674"/>
    </row>
    <row r="70" spans="1:18" x14ac:dyDescent="0.65">
      <c r="A70" s="674">
        <v>3000</v>
      </c>
      <c r="B70" s="675">
        <v>0.36299999999999999</v>
      </c>
      <c r="C70" s="676">
        <f>'Tribal Measure Tool'!$J$17</f>
        <v>0</v>
      </c>
      <c r="D70" s="677">
        <f t="shared" si="12"/>
        <v>0</v>
      </c>
      <c r="E70" s="677">
        <f t="shared" si="11"/>
        <v>0</v>
      </c>
      <c r="F70" s="678">
        <f>E70*Factors!N$27</f>
        <v>0</v>
      </c>
      <c r="G70" s="674"/>
      <c r="H70" s="674"/>
    </row>
    <row r="71" spans="1:18" x14ac:dyDescent="0.65">
      <c r="A71" s="674">
        <v>5000</v>
      </c>
      <c r="B71" s="675">
        <v>0.36299999999999999</v>
      </c>
      <c r="C71" s="676">
        <f>'Tribal Measure Tool'!$J$17</f>
        <v>0</v>
      </c>
      <c r="D71" s="677">
        <f t="shared" si="12"/>
        <v>0</v>
      </c>
      <c r="E71" s="677">
        <f t="shared" si="11"/>
        <v>0</v>
      </c>
      <c r="F71" s="678">
        <f>E71*Factors!N$27</f>
        <v>0</v>
      </c>
      <c r="G71" s="674"/>
      <c r="H71" s="674"/>
    </row>
    <row r="72" spans="1:18" x14ac:dyDescent="0.65">
      <c r="A72" s="674">
        <v>10000</v>
      </c>
      <c r="B72" s="675">
        <v>0.36299999999999999</v>
      </c>
      <c r="C72" s="676">
        <f>'Tribal Measure Tool'!$J$17</f>
        <v>0</v>
      </c>
      <c r="D72" s="677">
        <f t="shared" si="12"/>
        <v>0</v>
      </c>
      <c r="E72" s="677">
        <f t="shared" si="11"/>
        <v>0</v>
      </c>
      <c r="F72" s="678">
        <f>E72*Factors!N$27</f>
        <v>0</v>
      </c>
      <c r="G72" s="674"/>
      <c r="H72" s="674"/>
    </row>
    <row r="73" spans="1:18" x14ac:dyDescent="0.65">
      <c r="A73" s="674">
        <v>15000</v>
      </c>
      <c r="B73" s="675">
        <v>0.36299999999999999</v>
      </c>
      <c r="C73" s="676">
        <f>'Tribal Measure Tool'!$J$17</f>
        <v>0</v>
      </c>
      <c r="D73" s="677">
        <f t="shared" si="12"/>
        <v>0</v>
      </c>
      <c r="E73" s="677">
        <f t="shared" si="11"/>
        <v>0</v>
      </c>
      <c r="F73" s="678">
        <f>E73*Factors!N$27</f>
        <v>0</v>
      </c>
      <c r="G73" s="674"/>
      <c r="H73" s="674"/>
    </row>
    <row r="74" spans="1:18" x14ac:dyDescent="0.65">
      <c r="A74" s="498">
        <v>1000</v>
      </c>
      <c r="B74" s="532">
        <v>0.36299999999999999</v>
      </c>
      <c r="C74" s="498">
        <v>5</v>
      </c>
      <c r="D74" s="535">
        <f>8760*A74*B74*C74/1000</f>
        <v>15899.4</v>
      </c>
      <c r="E74" s="535">
        <f>D74*I1</f>
        <v>18788107.092692457</v>
      </c>
      <c r="F74" s="537">
        <f>E74*Factors!N$27</f>
        <v>8522.1350723885571</v>
      </c>
      <c r="G74" s="498"/>
      <c r="H74" s="498"/>
      <c r="I74" s="498"/>
      <c r="J74" s="498"/>
      <c r="K74" s="498"/>
      <c r="L74" s="498"/>
      <c r="M74" s="498"/>
      <c r="N74" s="498"/>
      <c r="O74" s="498"/>
      <c r="P74" s="498"/>
      <c r="Q74" s="498"/>
      <c r="R74" s="498"/>
    </row>
    <row r="75" spans="1:18" x14ac:dyDescent="0.65">
      <c r="A75" t="s">
        <v>818</v>
      </c>
    </row>
    <row r="76" spans="1:18" x14ac:dyDescent="0.65">
      <c r="A76" s="177" t="s">
        <v>819</v>
      </c>
    </row>
    <row r="77" spans="1:18" x14ac:dyDescent="0.65">
      <c r="A77" s="177" t="s">
        <v>820</v>
      </c>
    </row>
    <row r="78" spans="1:18" x14ac:dyDescent="0.65">
      <c r="A78" s="18" t="s">
        <v>821</v>
      </c>
    </row>
    <row r="81" spans="1:1" x14ac:dyDescent="0.65">
      <c r="A81" s="18" t="s">
        <v>850</v>
      </c>
    </row>
  </sheetData>
  <hyperlinks>
    <hyperlink ref="A78" r:id="rId1" xr:uid="{03F74EC6-DAC8-4FAE-96A5-B060B24CED67}"/>
    <hyperlink ref="A81" r:id="rId2" xr:uid="{BF701BF2-8735-4F2B-A544-B97C9681A217}"/>
    <hyperlink ref="K59" r:id="rId3" xr:uid="{3A9A9A1D-5A4C-4A22-90A8-C5B949F42C1E}"/>
  </hyperlinks>
  <pageMargins left="0.7" right="0.7" top="0.75" bottom="0.75" header="0.3" footer="0.3"/>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45C11-8C86-4B11-AFF1-4042C3C809FD}">
  <sheetPr>
    <tabColor theme="8"/>
  </sheetPr>
  <dimension ref="A1:N63"/>
  <sheetViews>
    <sheetView workbookViewId="0">
      <pane ySplit="1" topLeftCell="A8" activePane="bottomLeft" state="frozen"/>
      <selection activeCell="I14" sqref="I14"/>
      <selection pane="bottomLeft" activeCell="I14" sqref="I14"/>
    </sheetView>
  </sheetViews>
  <sheetFormatPr defaultRowHeight="14.25" x14ac:dyDescent="0.65"/>
  <cols>
    <col min="1" max="1" width="21.625" bestFit="1" customWidth="1"/>
    <col min="2" max="2" width="31.625" bestFit="1" customWidth="1"/>
    <col min="3" max="4" width="23.75" customWidth="1"/>
    <col min="5" max="5" width="26.375" customWidth="1"/>
    <col min="6" max="6" width="17.375" customWidth="1"/>
    <col min="7" max="7" width="13.5" customWidth="1"/>
    <col min="8" max="8" width="12.75" customWidth="1"/>
    <col min="9" max="9" width="13" customWidth="1"/>
    <col min="10" max="10" width="15.625" customWidth="1"/>
  </cols>
  <sheetData>
    <row r="1" spans="1:14" ht="23" x14ac:dyDescent="1">
      <c r="A1" s="327" t="s">
        <v>499</v>
      </c>
      <c r="B1" s="327" t="str">
        <f>'Tribal Measure Tool'!H6</f>
        <v>Type Name Here</v>
      </c>
      <c r="D1" s="1580" t="s">
        <v>504</v>
      </c>
      <c r="E1" s="1580"/>
      <c r="F1" s="1580"/>
      <c r="G1" s="1580"/>
      <c r="H1" s="1580"/>
      <c r="I1" s="335">
        <f>'Tribal Measure Tool'!E5</f>
        <v>1216</v>
      </c>
      <c r="K1" t="s">
        <v>950</v>
      </c>
      <c r="L1" s="560">
        <v>1213</v>
      </c>
    </row>
    <row r="2" spans="1:14" ht="21" x14ac:dyDescent="0.65">
      <c r="A2" s="336">
        <v>1</v>
      </c>
      <c r="B2" s="336">
        <v>2</v>
      </c>
      <c r="C2" s="336">
        <v>3</v>
      </c>
      <c r="D2" s="336">
        <v>4</v>
      </c>
      <c r="E2" s="336">
        <v>5</v>
      </c>
      <c r="F2" s="336">
        <v>6</v>
      </c>
      <c r="G2" s="336">
        <v>7</v>
      </c>
      <c r="H2" s="336">
        <v>8</v>
      </c>
      <c r="I2" s="336">
        <v>9</v>
      </c>
      <c r="J2" s="336">
        <v>10</v>
      </c>
      <c r="K2" s="336">
        <v>11</v>
      </c>
      <c r="L2" s="336">
        <v>12</v>
      </c>
      <c r="M2" s="336">
        <v>13</v>
      </c>
      <c r="N2" s="336"/>
    </row>
    <row r="3" spans="1:14" s="59" customFormat="1" ht="19.25" thickBot="1" x14ac:dyDescent="0.8">
      <c r="A3" s="1578" t="s">
        <v>676</v>
      </c>
      <c r="B3" s="1579"/>
      <c r="C3" s="1579"/>
      <c r="D3" s="1579"/>
      <c r="E3" s="1579"/>
      <c r="F3" s="1579"/>
      <c r="G3" s="1579"/>
      <c r="H3" s="1579"/>
      <c r="I3" s="1579"/>
      <c r="J3" s="1579"/>
      <c r="K3" s="1579"/>
    </row>
    <row r="4" spans="1:14" s="1" customFormat="1" ht="29" x14ac:dyDescent="0.7">
      <c r="A4" s="16" t="s">
        <v>746</v>
      </c>
      <c r="B4" s="16" t="s">
        <v>750</v>
      </c>
      <c r="C4" s="16" t="s">
        <v>751</v>
      </c>
      <c r="D4" s="432" t="s">
        <v>560</v>
      </c>
      <c r="E4" s="16"/>
      <c r="G4" s="16"/>
      <c r="L4" s="16"/>
      <c r="M4" s="16"/>
      <c r="N4" s="16"/>
    </row>
    <row r="5" spans="1:14" ht="15" thickBot="1" x14ac:dyDescent="0.8">
      <c r="A5" s="355">
        <f>'Tribal Measure Tool'!H35</f>
        <v>0</v>
      </c>
      <c r="B5">
        <f>AVERAGE(B31, B33)</f>
        <v>12.02</v>
      </c>
      <c r="C5">
        <f>B5*Factors!$N$54</f>
        <v>1.2019999999999999E-2</v>
      </c>
      <c r="D5" s="433">
        <f>A5*C5*Factors!$N$23</f>
        <v>0</v>
      </c>
      <c r="E5" s="160"/>
    </row>
    <row r="6" spans="1:14" s="498" customFormat="1" ht="15" thickBot="1" x14ac:dyDescent="0.8">
      <c r="A6" s="636">
        <v>100000</v>
      </c>
      <c r="B6" s="498">
        <f>AVERAGE(B31, B33)</f>
        <v>12.02</v>
      </c>
      <c r="C6" s="498">
        <f>B6*Factors!$N$54</f>
        <v>1.2019999999999999E-2</v>
      </c>
      <c r="D6" s="637">
        <f>A6*C6*Factors!$N$23</f>
        <v>1202</v>
      </c>
      <c r="E6" s="635"/>
    </row>
    <row r="7" spans="1:14" s="59" customFormat="1" ht="19.25" thickBot="1" x14ac:dyDescent="0.8">
      <c r="A7" s="1578" t="s">
        <v>727</v>
      </c>
      <c r="B7" s="1579"/>
      <c r="C7" s="1579"/>
      <c r="D7" s="1579"/>
      <c r="E7" s="1579"/>
      <c r="F7" s="1579"/>
      <c r="G7" s="1579"/>
      <c r="H7" s="1579"/>
      <c r="I7" s="1579"/>
      <c r="J7" s="1579"/>
      <c r="K7" s="1579"/>
    </row>
    <row r="8" spans="1:14" s="1" customFormat="1" ht="72.5" x14ac:dyDescent="0.7">
      <c r="A8" s="16" t="s">
        <v>747</v>
      </c>
      <c r="B8" s="1" t="s">
        <v>769</v>
      </c>
      <c r="C8" s="16" t="s">
        <v>760</v>
      </c>
      <c r="D8" s="432" t="s">
        <v>764</v>
      </c>
      <c r="E8" s="16" t="s">
        <v>752</v>
      </c>
      <c r="F8" s="16" t="s">
        <v>761</v>
      </c>
      <c r="G8" s="432" t="s">
        <v>765</v>
      </c>
      <c r="I8" s="432" t="s">
        <v>770</v>
      </c>
      <c r="J8" s="16"/>
      <c r="K8" s="16"/>
    </row>
    <row r="9" spans="1:14" ht="15" thickBot="1" x14ac:dyDescent="0.8">
      <c r="A9" s="323">
        <f>'Tribal Measure Tool'!H36</f>
        <v>0</v>
      </c>
      <c r="B9">
        <v>9.2903040000000006E-2</v>
      </c>
      <c r="C9">
        <f>B23*Factors!N54</f>
        <v>7.9400000000000011E-4</v>
      </c>
      <c r="D9" s="433">
        <f>A9*B9*C9*Factors!$N$23</f>
        <v>0</v>
      </c>
      <c r="E9" s="323">
        <f>'Tribal Measure Tool'!J36</f>
        <v>0</v>
      </c>
      <c r="F9">
        <f>AVERAGE(B24:B29)*Factors!$N$54</f>
        <v>1.9000000000000004E-4</v>
      </c>
      <c r="G9" s="433">
        <f>E9*F9*Factors!$N$23</f>
        <v>0</v>
      </c>
      <c r="I9" s="440">
        <f>D9+G9</f>
        <v>0</v>
      </c>
    </row>
    <row r="10" spans="1:14" s="498" customFormat="1" ht="15" thickBot="1" x14ac:dyDescent="0.8">
      <c r="A10" s="644">
        <v>1000000</v>
      </c>
      <c r="B10" s="498">
        <v>9.2903040000000006E-2</v>
      </c>
      <c r="C10" s="498">
        <f>B23*Factors!N54</f>
        <v>7.9400000000000011E-4</v>
      </c>
      <c r="D10" s="645">
        <f>A10*B10*C10*Factors!$N$23</f>
        <v>73.765013760000016</v>
      </c>
      <c r="E10" s="644">
        <v>100000</v>
      </c>
      <c r="F10" s="498">
        <f>AVERAGE(B24:B29)*Factors!$N$54</f>
        <v>1.9000000000000004E-4</v>
      </c>
      <c r="G10" s="637">
        <f>E10*F10*Factors!$N$23</f>
        <v>19.000000000000004</v>
      </c>
      <c r="I10" s="643">
        <f>D10+G10</f>
        <v>92.765013760000016</v>
      </c>
    </row>
    <row r="11" spans="1:14" s="59" customFormat="1" ht="19.25" thickBot="1" x14ac:dyDescent="0.8">
      <c r="A11" s="1578" t="s">
        <v>768</v>
      </c>
      <c r="B11" s="1579"/>
      <c r="C11" s="1579"/>
      <c r="D11" s="1579"/>
      <c r="E11" s="1579"/>
      <c r="F11" s="1579"/>
      <c r="G11" s="1579"/>
      <c r="H11" s="1579"/>
      <c r="I11" s="1579"/>
      <c r="J11" s="1579"/>
      <c r="K11" s="1579"/>
    </row>
    <row r="12" spans="1:14" ht="85.75" x14ac:dyDescent="0.7">
      <c r="A12" s="1" t="s">
        <v>767</v>
      </c>
      <c r="B12" s="1" t="s">
        <v>759</v>
      </c>
      <c r="C12" s="16" t="s">
        <v>755</v>
      </c>
      <c r="D12" s="16" t="s">
        <v>756</v>
      </c>
      <c r="E12" s="16" t="s">
        <v>763</v>
      </c>
      <c r="F12" s="16" t="s">
        <v>766</v>
      </c>
      <c r="G12" s="437" t="s">
        <v>560</v>
      </c>
      <c r="H12" s="286" t="s">
        <v>762</v>
      </c>
    </row>
    <row r="13" spans="1:14" ht="15" thickBot="1" x14ac:dyDescent="0.8">
      <c r="A13" s="323">
        <f>'Tribal Measure Tool'!H37</f>
        <v>0</v>
      </c>
      <c r="B13">
        <f>A13*0.092903</f>
        <v>0</v>
      </c>
      <c r="C13">
        <v>2.4430000000000001</v>
      </c>
      <c r="D13" s="177">
        <f>B13*C13</f>
        <v>0</v>
      </c>
      <c r="E13">
        <v>0.79400000000000004</v>
      </c>
      <c r="F13" s="177">
        <f>E13*B13</f>
        <v>0</v>
      </c>
      <c r="G13" s="438">
        <f>F13*Factors!$N$54</f>
        <v>0</v>
      </c>
    </row>
    <row r="14" spans="1:14" s="498" customFormat="1" ht="15" thickBot="1" x14ac:dyDescent="0.8">
      <c r="A14" s="644">
        <v>800000</v>
      </c>
      <c r="B14" s="498">
        <f>A14*0.092903</f>
        <v>74322.399999999994</v>
      </c>
      <c r="C14" s="498">
        <v>2.4430000000000001</v>
      </c>
      <c r="D14" s="490">
        <f>B14*C14</f>
        <v>181569.6232</v>
      </c>
      <c r="E14" s="498">
        <v>0.79400000000000004</v>
      </c>
      <c r="F14" s="490">
        <f>E14*B14</f>
        <v>59011.9856</v>
      </c>
      <c r="G14" s="646">
        <f>F14*Factors!$N$54</f>
        <v>59.011985600000003</v>
      </c>
    </row>
    <row r="16" spans="1:14" s="59" customFormat="1" ht="18.5" x14ac:dyDescent="0.65">
      <c r="A16" s="1578" t="s">
        <v>773</v>
      </c>
      <c r="B16" s="1579"/>
      <c r="C16" s="1579"/>
      <c r="D16" s="1579"/>
      <c r="E16" s="1579"/>
      <c r="F16" s="1579"/>
      <c r="G16" s="1579"/>
      <c r="H16" s="1579"/>
      <c r="I16" s="1579"/>
      <c r="J16" s="1579"/>
      <c r="K16" s="1579"/>
    </row>
    <row r="17" spans="1:13" ht="74" x14ac:dyDescent="0.65">
      <c r="A17" s="384" t="s">
        <v>780</v>
      </c>
      <c r="B17" t="s">
        <v>771</v>
      </c>
      <c r="C17" s="12" t="s">
        <v>775</v>
      </c>
    </row>
    <row r="18" spans="1:13" x14ac:dyDescent="0.65">
      <c r="A18" s="457">
        <f>'Tribal Measure Tool'!H38</f>
        <v>0</v>
      </c>
      <c r="B18" s="439">
        <v>0.11600000000000001</v>
      </c>
      <c r="C18">
        <f>B18*'Tribal Measure Tool'!E38*A18</f>
        <v>0</v>
      </c>
    </row>
    <row r="19" spans="1:13" s="498" customFormat="1" x14ac:dyDescent="0.65">
      <c r="A19" s="570">
        <v>0.2</v>
      </c>
      <c r="B19" s="532">
        <v>0.11600000000000001</v>
      </c>
      <c r="C19" s="490" t="e">
        <f>B19*SUM('Tool Reference'!#REF!)*A19</f>
        <v>#REF!</v>
      </c>
    </row>
    <row r="20" spans="1:13" ht="15" thickBot="1" x14ac:dyDescent="0.8"/>
    <row r="21" spans="1:13" ht="15.25" thickBot="1" x14ac:dyDescent="0.85">
      <c r="A21" s="1585" t="s">
        <v>772</v>
      </c>
      <c r="B21" s="1585"/>
      <c r="C21" s="1585"/>
      <c r="D21" s="1585"/>
    </row>
    <row r="22" spans="1:13" ht="43" x14ac:dyDescent="0.7">
      <c r="A22" s="1" t="s">
        <v>728</v>
      </c>
      <c r="B22" s="167" t="s">
        <v>736</v>
      </c>
      <c r="C22" t="s">
        <v>742</v>
      </c>
      <c r="H22" s="1"/>
      <c r="K22" s="1"/>
      <c r="L22" s="16"/>
    </row>
    <row r="23" spans="1:13" x14ac:dyDescent="0.65">
      <c r="A23" t="s">
        <v>730</v>
      </c>
      <c r="B23">
        <v>0.79400000000000004</v>
      </c>
      <c r="C23" s="431" t="s">
        <v>745</v>
      </c>
    </row>
    <row r="24" spans="1:13" x14ac:dyDescent="0.65">
      <c r="A24" t="s">
        <v>729</v>
      </c>
      <c r="B24">
        <v>0.14000000000000001</v>
      </c>
      <c r="C24" s="431" t="s">
        <v>721</v>
      </c>
      <c r="M24" s="429"/>
    </row>
    <row r="25" spans="1:13" x14ac:dyDescent="0.65">
      <c r="A25" t="s">
        <v>731</v>
      </c>
      <c r="B25">
        <v>0.28000000000000003</v>
      </c>
      <c r="C25" s="431" t="s">
        <v>722</v>
      </c>
      <c r="E25">
        <f>AVERAGE(B24:B29)</f>
        <v>0.19000000000000003</v>
      </c>
      <c r="M25" s="430"/>
    </row>
    <row r="26" spans="1:13" x14ac:dyDescent="0.65">
      <c r="A26" t="s">
        <v>732</v>
      </c>
      <c r="B26">
        <v>0.57999999999999996</v>
      </c>
      <c r="C26" s="431" t="s">
        <v>723</v>
      </c>
      <c r="M26" s="430"/>
    </row>
    <row r="27" spans="1:13" x14ac:dyDescent="0.65">
      <c r="A27" t="s">
        <v>733</v>
      </c>
      <c r="B27">
        <v>0.02</v>
      </c>
      <c r="C27" s="431" t="s">
        <v>721</v>
      </c>
      <c r="M27" s="430"/>
    </row>
    <row r="28" spans="1:13" x14ac:dyDescent="0.65">
      <c r="A28" t="s">
        <v>734</v>
      </c>
      <c r="B28">
        <v>0.04</v>
      </c>
      <c r="C28" s="431" t="s">
        <v>722</v>
      </c>
    </row>
    <row r="29" spans="1:13" x14ac:dyDescent="0.65">
      <c r="A29" t="s">
        <v>735</v>
      </c>
      <c r="B29">
        <v>0.08</v>
      </c>
      <c r="C29" s="431" t="s">
        <v>723</v>
      </c>
    </row>
    <row r="30" spans="1:13" x14ac:dyDescent="0.65">
      <c r="A30" t="s">
        <v>738</v>
      </c>
      <c r="B30">
        <v>1.42</v>
      </c>
      <c r="C30" s="431" t="s">
        <v>744</v>
      </c>
      <c r="M30" s="430"/>
    </row>
    <row r="31" spans="1:13" ht="21" x14ac:dyDescent="0.65">
      <c r="A31" t="s">
        <v>739</v>
      </c>
      <c r="B31">
        <v>11.16</v>
      </c>
      <c r="C31" s="431" t="s">
        <v>724</v>
      </c>
      <c r="M31" s="430" t="s">
        <v>743</v>
      </c>
    </row>
    <row r="32" spans="1:13" x14ac:dyDescent="0.65">
      <c r="A32" t="s">
        <v>740</v>
      </c>
      <c r="B32">
        <v>0.2</v>
      </c>
      <c r="C32" s="431" t="s">
        <v>744</v>
      </c>
      <c r="M32" s="430"/>
    </row>
    <row r="33" spans="1:8" x14ac:dyDescent="0.65">
      <c r="A33" t="s">
        <v>741</v>
      </c>
      <c r="B33">
        <v>12.88</v>
      </c>
      <c r="C33" s="431" t="s">
        <v>724</v>
      </c>
    </row>
    <row r="35" spans="1:8" x14ac:dyDescent="0.65">
      <c r="A35" s="18" t="s">
        <v>737</v>
      </c>
    </row>
    <row r="37" spans="1:8" ht="14.75" x14ac:dyDescent="0.75">
      <c r="H37" s="381"/>
    </row>
    <row r="39" spans="1:8" x14ac:dyDescent="0.65">
      <c r="A39" s="18"/>
    </row>
    <row r="55" spans="1:10" x14ac:dyDescent="0.65">
      <c r="A55" s="7" t="s">
        <v>749</v>
      </c>
      <c r="B55" s="7"/>
      <c r="C55" s="7"/>
      <c r="D55" s="7"/>
      <c r="E55" s="7"/>
      <c r="F55" s="7"/>
      <c r="G55" s="7"/>
      <c r="H55" s="7"/>
      <c r="I55" s="7"/>
      <c r="J55" s="7"/>
    </row>
    <row r="56" spans="1:10" ht="29" x14ac:dyDescent="0.7">
      <c r="A56" s="1" t="s">
        <v>102</v>
      </c>
      <c r="B56" s="1" t="s">
        <v>103</v>
      </c>
      <c r="C56" s="16" t="s">
        <v>104</v>
      </c>
    </row>
    <row r="57" spans="1:10" x14ac:dyDescent="0.65">
      <c r="A57" t="s">
        <v>105</v>
      </c>
      <c r="B57">
        <v>2</v>
      </c>
      <c r="C57">
        <v>27.6</v>
      </c>
    </row>
    <row r="58" spans="1:10" x14ac:dyDescent="0.65">
      <c r="A58" t="s">
        <v>105</v>
      </c>
      <c r="B58" s="2">
        <v>5</v>
      </c>
      <c r="C58" s="2">
        <v>48.7</v>
      </c>
    </row>
    <row r="61" spans="1:10" s="7" customFormat="1" x14ac:dyDescent="0.65">
      <c r="A61" s="7" t="s">
        <v>748</v>
      </c>
      <c r="B61"/>
      <c r="C61"/>
      <c r="D61"/>
      <c r="E61"/>
      <c r="F61"/>
      <c r="G61"/>
      <c r="H61"/>
      <c r="I61"/>
      <c r="J61"/>
    </row>
    <row r="62" spans="1:10" ht="58" x14ac:dyDescent="0.7">
      <c r="A62" s="1" t="s">
        <v>778</v>
      </c>
      <c r="B62" s="16" t="s">
        <v>590</v>
      </c>
      <c r="C62" s="16" t="s">
        <v>594</v>
      </c>
      <c r="D62" s="16" t="s">
        <v>614</v>
      </c>
      <c r="E62" s="16" t="s">
        <v>615</v>
      </c>
      <c r="F62" s="16" t="s">
        <v>660</v>
      </c>
      <c r="G62" s="16" t="s">
        <v>623</v>
      </c>
      <c r="H62" s="16" t="s">
        <v>621</v>
      </c>
      <c r="I62" s="16" t="s">
        <v>624</v>
      </c>
      <c r="J62" s="16" t="s">
        <v>591</v>
      </c>
    </row>
    <row r="63" spans="1:10" x14ac:dyDescent="0.65">
      <c r="A63" s="7" t="s">
        <v>779</v>
      </c>
      <c r="B63">
        <f>AVERAGE(16, 48, 124, 86, 37, 25)</f>
        <v>56</v>
      </c>
      <c r="C63">
        <v>1.37</v>
      </c>
      <c r="D63">
        <v>1.1399999999999999</v>
      </c>
      <c r="E63">
        <v>0.95</v>
      </c>
      <c r="F63" s="177" t="e">
        <f>0.1*#REF!</f>
        <v>#REF!</v>
      </c>
      <c r="G63" s="177" t="e">
        <f>0.1*#REF!</f>
        <v>#REF!</v>
      </c>
      <c r="H63">
        <v>0.4047</v>
      </c>
      <c r="I63" s="159">
        <f>44/12</f>
        <v>3.6666666666666665</v>
      </c>
      <c r="J63" t="e">
        <f>(#REF!*B63*C63*D63 - B63*C63*E63*F63 - B63*G63*1)*H63*I63</f>
        <v>#REF!</v>
      </c>
    </row>
  </sheetData>
  <mergeCells count="6">
    <mergeCell ref="D1:H1"/>
    <mergeCell ref="A3:K3"/>
    <mergeCell ref="A11:K11"/>
    <mergeCell ref="A16:K16"/>
    <mergeCell ref="A21:D21"/>
    <mergeCell ref="A7:K7"/>
  </mergeCells>
  <hyperlinks>
    <hyperlink ref="B22" r:id="rId1" xr:uid="{B13E64C2-258A-46F3-B9B1-082B80C8AB50}"/>
    <hyperlink ref="A35" r:id="rId2" display="*Source" xr:uid="{7F26ED68-7332-4AF4-A956-5D6D40055268}"/>
  </hyperlinks>
  <pageMargins left="0.7" right="0.7" top="0.75" bottom="0.75" header="0.3" footer="0.3"/>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11C0F-2233-4F34-8B3B-7843AF29ADA5}">
  <sheetPr>
    <tabColor theme="4" tint="0.79998168889431442"/>
  </sheetPr>
  <dimension ref="B1:AA295"/>
  <sheetViews>
    <sheetView zoomScale="85" zoomScaleNormal="85" workbookViewId="0">
      <selection activeCell="I14" sqref="I14"/>
    </sheetView>
  </sheetViews>
  <sheetFormatPr defaultRowHeight="14.25" x14ac:dyDescent="0.65"/>
  <cols>
    <col min="2" max="2" width="16" customWidth="1"/>
    <col min="3" max="3" width="13.5" bestFit="1" customWidth="1"/>
    <col min="7" max="7" width="7.875" bestFit="1" customWidth="1"/>
    <col min="13" max="13" width="24.5" customWidth="1"/>
    <col min="14" max="14" width="24.875" customWidth="1"/>
    <col min="15" max="15" width="12.5" customWidth="1"/>
  </cols>
  <sheetData>
    <row r="1" spans="2:27" x14ac:dyDescent="0.65">
      <c r="B1" s="312"/>
      <c r="C1" s="312"/>
      <c r="D1" s="312"/>
      <c r="E1" s="312"/>
      <c r="F1" s="312"/>
      <c r="G1" s="312"/>
    </row>
    <row r="2" spans="2:27" x14ac:dyDescent="0.65">
      <c r="B2" s="18" t="s">
        <v>463</v>
      </c>
      <c r="C2" s="312"/>
      <c r="D2" s="312"/>
      <c r="E2" s="312"/>
      <c r="F2" s="312"/>
      <c r="G2" s="312"/>
    </row>
    <row r="3" spans="2:27" x14ac:dyDescent="0.65">
      <c r="B3" s="312"/>
      <c r="C3" s="312" t="s">
        <v>113</v>
      </c>
      <c r="D3" s="312">
        <v>1</v>
      </c>
      <c r="E3" s="312">
        <v>28</v>
      </c>
      <c r="F3" s="312">
        <v>265</v>
      </c>
      <c r="G3" s="313">
        <v>23500</v>
      </c>
      <c r="M3" s="18"/>
    </row>
    <row r="4" spans="2:27" x14ac:dyDescent="0.65">
      <c r="B4" s="312"/>
      <c r="C4" s="312" t="s">
        <v>114</v>
      </c>
      <c r="D4" s="312" t="s">
        <v>115</v>
      </c>
      <c r="E4" s="312" t="s">
        <v>116</v>
      </c>
      <c r="F4" s="312" t="s">
        <v>117</v>
      </c>
      <c r="G4" s="312" t="s">
        <v>118</v>
      </c>
      <c r="K4">
        <f>L4+(M4*Factors!N24)</f>
        <v>0</v>
      </c>
      <c r="M4" s="178"/>
      <c r="N4" s="1675"/>
      <c r="O4" s="1675"/>
      <c r="P4" s="1675"/>
      <c r="Q4" s="1675"/>
      <c r="R4" s="1675"/>
      <c r="S4" s="1675"/>
      <c r="U4" s="178"/>
      <c r="V4" s="1675"/>
      <c r="W4" s="1675"/>
      <c r="X4" s="1675"/>
      <c r="Y4" s="1675"/>
      <c r="Z4" s="1675"/>
      <c r="AA4" s="1675"/>
    </row>
    <row r="5" spans="2:27" x14ac:dyDescent="0.65">
      <c r="M5" s="179"/>
      <c r="N5" s="180"/>
      <c r="O5" s="180"/>
      <c r="P5" s="180"/>
      <c r="Q5" s="180"/>
      <c r="R5" s="180"/>
      <c r="S5" s="180"/>
      <c r="U5" s="179"/>
      <c r="V5" s="180"/>
      <c r="W5" s="180"/>
      <c r="X5" s="180"/>
      <c r="Y5" s="180"/>
      <c r="Z5" s="180"/>
      <c r="AA5" s="180"/>
    </row>
    <row r="6" spans="2:27" ht="15" thickBot="1" x14ac:dyDescent="0.8">
      <c r="I6">
        <f>E6*Factors!N45*Factors!E62*Factors!N54</f>
        <v>0</v>
      </c>
      <c r="M6" s="18" t="s">
        <v>112</v>
      </c>
      <c r="N6" s="180"/>
      <c r="O6" s="180"/>
      <c r="P6" s="180"/>
      <c r="Q6" s="180"/>
      <c r="R6" s="180"/>
      <c r="S6" s="180"/>
      <c r="U6" s="179"/>
      <c r="V6" s="180"/>
      <c r="W6" s="180"/>
      <c r="X6" s="180"/>
      <c r="Y6" s="180"/>
      <c r="Z6" s="180"/>
      <c r="AA6" s="180"/>
    </row>
    <row r="7" spans="2:27" ht="15" thickBot="1" x14ac:dyDescent="0.8">
      <c r="B7" s="181" t="s">
        <v>119</v>
      </c>
      <c r="C7" s="1676" t="s">
        <v>120</v>
      </c>
      <c r="D7" s="1677"/>
      <c r="E7" s="1677"/>
      <c r="F7" s="1677"/>
      <c r="G7" s="1677"/>
      <c r="H7" s="1677"/>
      <c r="I7" s="1677"/>
      <c r="J7" s="1677"/>
      <c r="K7" s="1678"/>
      <c r="M7" s="182"/>
      <c r="N7" s="1679" t="s">
        <v>121</v>
      </c>
      <c r="O7" s="1680"/>
      <c r="P7" s="1681"/>
      <c r="Q7" s="1682" t="s">
        <v>122</v>
      </c>
      <c r="R7" s="1683"/>
      <c r="S7" s="1684"/>
      <c r="W7" s="183"/>
    </row>
    <row r="8" spans="2:27" ht="48" x14ac:dyDescent="0.65">
      <c r="B8" s="1687" t="s">
        <v>123</v>
      </c>
      <c r="C8" s="1688"/>
      <c r="D8" s="184" t="s">
        <v>124</v>
      </c>
      <c r="E8" s="185" t="s">
        <v>125</v>
      </c>
      <c r="F8" s="185" t="s">
        <v>126</v>
      </c>
      <c r="G8" s="185" t="s">
        <v>127</v>
      </c>
      <c r="H8" s="186" t="s">
        <v>128</v>
      </c>
      <c r="I8" s="186" t="s">
        <v>129</v>
      </c>
      <c r="J8" s="187" t="s">
        <v>130</v>
      </c>
      <c r="K8" s="188"/>
      <c r="M8" s="189" t="s">
        <v>131</v>
      </c>
      <c r="N8" s="190" t="s">
        <v>132</v>
      </c>
      <c r="O8" s="191" t="s">
        <v>126</v>
      </c>
      <c r="P8" s="192" t="s">
        <v>127</v>
      </c>
      <c r="Q8" s="193" t="s">
        <v>132</v>
      </c>
      <c r="R8" s="194" t="s">
        <v>133</v>
      </c>
      <c r="S8" s="195" t="s">
        <v>134</v>
      </c>
      <c r="T8" s="183"/>
      <c r="W8" s="183"/>
    </row>
    <row r="9" spans="2:27" ht="87.75" thickBot="1" x14ac:dyDescent="0.85">
      <c r="B9" s="1694"/>
      <c r="C9" s="1695"/>
      <c r="D9" s="196" t="s">
        <v>135</v>
      </c>
      <c r="E9" s="197" t="s">
        <v>136</v>
      </c>
      <c r="F9" s="197" t="s">
        <v>137</v>
      </c>
      <c r="G9" s="197" t="s">
        <v>138</v>
      </c>
      <c r="H9" s="198" t="s">
        <v>139</v>
      </c>
      <c r="I9" s="198" t="s">
        <v>140</v>
      </c>
      <c r="J9" s="198" t="s">
        <v>141</v>
      </c>
      <c r="K9" s="188"/>
      <c r="M9" s="199"/>
      <c r="N9" s="200" t="s">
        <v>142</v>
      </c>
      <c r="O9" s="201" t="s">
        <v>142</v>
      </c>
      <c r="P9" s="202" t="s">
        <v>142</v>
      </c>
      <c r="Q9" s="200" t="s">
        <v>142</v>
      </c>
      <c r="R9" s="201" t="s">
        <v>142</v>
      </c>
      <c r="S9" s="202" t="s">
        <v>142</v>
      </c>
      <c r="T9" s="297" t="s">
        <v>420</v>
      </c>
      <c r="U9" s="183" t="s">
        <v>421</v>
      </c>
      <c r="V9" s="297" t="s">
        <v>422</v>
      </c>
      <c r="W9" s="404" t="s">
        <v>807</v>
      </c>
    </row>
    <row r="10" spans="2:27" ht="14.5" x14ac:dyDescent="0.65">
      <c r="B10" s="1696" t="s">
        <v>143</v>
      </c>
      <c r="C10" s="1697"/>
      <c r="D10" s="1698"/>
      <c r="E10" s="1699"/>
      <c r="F10" s="1699"/>
      <c r="G10" s="1699"/>
      <c r="H10" s="1699"/>
      <c r="I10" s="1699"/>
      <c r="J10" s="1700"/>
      <c r="M10" t="s">
        <v>144</v>
      </c>
      <c r="N10">
        <v>995.8</v>
      </c>
      <c r="O10">
        <v>0.107</v>
      </c>
      <c r="P10">
        <v>1.4999999999999999E-2</v>
      </c>
      <c r="Q10" s="183">
        <v>1808.3</v>
      </c>
      <c r="R10">
        <v>0.183</v>
      </c>
      <c r="S10">
        <v>2.5999999999999999E-2</v>
      </c>
      <c r="T10" s="5" t="e">
        <f>(U10/N14)/$N$27</f>
        <v>#REF!</v>
      </c>
      <c r="U10" s="10" t="e">
        <f>SUM(#REF!,#REF!,#REF!,#REF!,#REF!,#REF!)</f>
        <v>#REF!</v>
      </c>
      <c r="V10" t="e">
        <f>T10/$T$13</f>
        <v>#REF!</v>
      </c>
      <c r="W10" s="20">
        <v>0.13</v>
      </c>
      <c r="X10" t="s">
        <v>145</v>
      </c>
    </row>
    <row r="11" spans="2:27" x14ac:dyDescent="0.65">
      <c r="B11" s="1685" t="s">
        <v>146</v>
      </c>
      <c r="C11" s="1686"/>
      <c r="D11" s="203">
        <v>9.9499999999999993</v>
      </c>
      <c r="E11" s="203">
        <v>90.7</v>
      </c>
      <c r="F11" s="204">
        <v>32</v>
      </c>
      <c r="G11" s="205">
        <v>4.2</v>
      </c>
      <c r="H11" s="204">
        <v>902</v>
      </c>
      <c r="I11" s="204">
        <v>318</v>
      </c>
      <c r="J11" s="204">
        <v>42</v>
      </c>
      <c r="M11" t="s">
        <v>147</v>
      </c>
      <c r="N11" s="183">
        <v>1582.1</v>
      </c>
      <c r="O11">
        <v>0.14799999999999999</v>
      </c>
      <c r="P11">
        <v>2.1999999999999999E-2</v>
      </c>
      <c r="Q11" s="183">
        <v>1555.9</v>
      </c>
      <c r="R11">
        <v>0.13300000000000001</v>
      </c>
      <c r="S11">
        <v>1.9E-2</v>
      </c>
      <c r="T11" s="5" t="e">
        <f>(U11/N15)/$N$27</f>
        <v>#REF!</v>
      </c>
      <c r="U11" s="10" t="e">
        <f>#REF!+0.75*#REF!</f>
        <v>#REF!</v>
      </c>
      <c r="V11" t="e">
        <f>T11/$T$13</f>
        <v>#REF!</v>
      </c>
      <c r="W11" s="20">
        <v>7.0000000000000007E-2</v>
      </c>
      <c r="X11" t="s">
        <v>148</v>
      </c>
    </row>
    <row r="12" spans="2:27" x14ac:dyDescent="0.65">
      <c r="B12" s="1685" t="s">
        <v>149</v>
      </c>
      <c r="C12" s="1686"/>
      <c r="D12" s="203">
        <v>30</v>
      </c>
      <c r="E12" s="203">
        <v>102.41</v>
      </c>
      <c r="F12" s="204">
        <v>32</v>
      </c>
      <c r="G12" s="205">
        <v>4.2</v>
      </c>
      <c r="H12" s="206">
        <v>3072</v>
      </c>
      <c r="I12" s="204">
        <v>960</v>
      </c>
      <c r="J12" s="204">
        <v>126</v>
      </c>
      <c r="M12" t="s">
        <v>150</v>
      </c>
      <c r="N12" s="183">
        <v>1046.0999999999999</v>
      </c>
      <c r="O12">
        <v>9.5000000000000001E-2</v>
      </c>
      <c r="P12">
        <v>1.4E-2</v>
      </c>
      <c r="Q12" s="183">
        <v>1798.8</v>
      </c>
      <c r="R12">
        <v>0.17199999999999999</v>
      </c>
      <c r="S12">
        <v>2.5000000000000001E-2</v>
      </c>
      <c r="T12" s="5" t="e">
        <f>(U12/N16)/$N$27</f>
        <v>#REF!</v>
      </c>
      <c r="U12" s="10" t="e">
        <f>#REF!*0.25</f>
        <v>#REF!</v>
      </c>
      <c r="V12" t="e">
        <f>T12/$T$13</f>
        <v>#REF!</v>
      </c>
      <c r="W12" s="20">
        <v>0.02</v>
      </c>
      <c r="X12" t="s">
        <v>151</v>
      </c>
    </row>
    <row r="13" spans="2:27" ht="14.5" x14ac:dyDescent="0.7">
      <c r="B13" s="1685" t="s">
        <v>152</v>
      </c>
      <c r="C13" s="1686"/>
      <c r="D13" s="203">
        <v>38</v>
      </c>
      <c r="E13" s="203">
        <v>75</v>
      </c>
      <c r="F13" s="204">
        <v>32</v>
      </c>
      <c r="G13" s="205">
        <v>4.2</v>
      </c>
      <c r="H13" s="206">
        <v>2850</v>
      </c>
      <c r="I13" s="206">
        <v>1216</v>
      </c>
      <c r="J13" s="204">
        <v>160</v>
      </c>
      <c r="N13" s="1" t="s">
        <v>153</v>
      </c>
      <c r="T13" s="5" t="e">
        <f>SUM(T10:T12)</f>
        <v>#REF!</v>
      </c>
    </row>
    <row r="14" spans="2:27" x14ac:dyDescent="0.65">
      <c r="B14" s="1685" t="s">
        <v>154</v>
      </c>
      <c r="C14" s="1686"/>
      <c r="D14" s="203">
        <v>28</v>
      </c>
      <c r="E14" s="203">
        <v>85.97</v>
      </c>
      <c r="F14" s="204">
        <v>32</v>
      </c>
      <c r="G14" s="205">
        <v>4.2</v>
      </c>
      <c r="H14" s="206">
        <v>2407</v>
      </c>
      <c r="I14" s="204">
        <v>896</v>
      </c>
      <c r="J14" s="204">
        <v>118</v>
      </c>
      <c r="M14" s="298" t="s">
        <v>144</v>
      </c>
      <c r="N14" s="299">
        <v>1003</v>
      </c>
      <c r="O14">
        <f>N14/N10</f>
        <v>1.0072303675436836</v>
      </c>
    </row>
    <row r="15" spans="2:27" x14ac:dyDescent="0.65">
      <c r="B15" s="1687" t="s">
        <v>94</v>
      </c>
      <c r="C15" s="1688"/>
      <c r="D15" s="1689"/>
      <c r="E15" s="1690"/>
      <c r="F15" s="1690"/>
      <c r="G15" s="1690"/>
      <c r="H15" s="1690"/>
      <c r="I15" s="1690"/>
      <c r="J15" s="1691"/>
      <c r="M15" s="298" t="s">
        <v>147</v>
      </c>
      <c r="N15" s="299">
        <v>1592</v>
      </c>
      <c r="O15">
        <f>N15/N11</f>
        <v>1.0062575058466596</v>
      </c>
    </row>
    <row r="16" spans="2:27" x14ac:dyDescent="0.65">
      <c r="B16" s="1692" t="s">
        <v>94</v>
      </c>
      <c r="C16" s="1693"/>
      <c r="D16" s="207">
        <v>1.026E-3</v>
      </c>
      <c r="E16" s="208">
        <v>53.06</v>
      </c>
      <c r="F16" s="209">
        <v>1</v>
      </c>
      <c r="G16" s="208">
        <v>0.1</v>
      </c>
      <c r="H16" s="210">
        <v>5.4440000000000002E-2</v>
      </c>
      <c r="I16" s="210">
        <v>1.0300000000000001E-3</v>
      </c>
      <c r="J16" s="210">
        <v>1E-4</v>
      </c>
      <c r="M16" t="s">
        <v>150</v>
      </c>
      <c r="N16" s="8">
        <f>AVERAGE(O14:O15)*N12</f>
        <v>1053.1548321768189</v>
      </c>
      <c r="O16" s="211"/>
      <c r="P16" s="211"/>
    </row>
    <row r="17" spans="2:23" x14ac:dyDescent="0.65">
      <c r="B17" s="1667" t="s">
        <v>155</v>
      </c>
      <c r="C17" s="1668"/>
      <c r="D17" s="1619"/>
      <c r="E17" s="1669"/>
      <c r="F17" s="1669"/>
      <c r="G17" s="1669"/>
      <c r="H17" s="1669"/>
      <c r="I17" s="1669"/>
      <c r="J17" s="1620"/>
      <c r="M17" s="177" t="s">
        <v>423</v>
      </c>
      <c r="N17" s="19" t="e">
        <f>SUMPRODUCT(N14:N16,V10:V12)/SUM(V10:V12)</f>
        <v>#REF!</v>
      </c>
      <c r="O17" s="20" t="e">
        <f>SUMPRODUCT(W10:W12,V10:V12)/SUM(V10:V12)</f>
        <v>#REF!</v>
      </c>
    </row>
    <row r="18" spans="2:23" x14ac:dyDescent="0.65">
      <c r="B18" s="1589" t="s">
        <v>156</v>
      </c>
      <c r="C18" s="1591"/>
      <c r="D18" s="212">
        <v>9.2E-5</v>
      </c>
      <c r="E18" s="213">
        <v>274.32</v>
      </c>
      <c r="F18" s="214">
        <v>2.1999999999999999E-2</v>
      </c>
      <c r="G18" s="213">
        <v>0.1</v>
      </c>
      <c r="H18" s="215">
        <v>2.5239999999999999E-2</v>
      </c>
      <c r="I18" s="212">
        <v>1.9999999999999999E-6</v>
      </c>
      <c r="J18" s="212">
        <v>9.0000000000000002E-6</v>
      </c>
    </row>
    <row r="19" spans="2:23" ht="15" thickBot="1" x14ac:dyDescent="0.8">
      <c r="B19" s="1589" t="s">
        <v>157</v>
      </c>
      <c r="C19" s="1591"/>
      <c r="D19" s="212">
        <v>5.9900000000000003E-4</v>
      </c>
      <c r="E19" s="213">
        <v>46.85</v>
      </c>
      <c r="F19" s="213">
        <v>0.48</v>
      </c>
      <c r="G19" s="213">
        <v>0.1</v>
      </c>
      <c r="H19" s="215">
        <v>2.8060000000000002E-2</v>
      </c>
      <c r="I19" s="212">
        <v>2.8800000000000001E-4</v>
      </c>
      <c r="J19" s="212">
        <v>6.0000000000000002E-5</v>
      </c>
    </row>
    <row r="20" spans="2:23" x14ac:dyDescent="0.65">
      <c r="B20" s="1589" t="s">
        <v>158</v>
      </c>
      <c r="C20" s="1591"/>
      <c r="D20" s="212">
        <v>1.3879999999999999E-3</v>
      </c>
      <c r="E20" s="213">
        <v>59</v>
      </c>
      <c r="F20" s="216">
        <v>3</v>
      </c>
      <c r="G20" s="213">
        <v>0.6</v>
      </c>
      <c r="H20" s="215">
        <v>8.1890000000000004E-2</v>
      </c>
      <c r="I20" s="212">
        <v>4.1640000000000002E-3</v>
      </c>
      <c r="J20" s="212">
        <v>8.3299999999999997E-4</v>
      </c>
      <c r="M20" s="1670" t="s">
        <v>159</v>
      </c>
      <c r="N20" s="1671"/>
      <c r="O20" s="1672"/>
      <c r="R20" s="1586" t="s">
        <v>677</v>
      </c>
      <c r="S20" s="1587"/>
      <c r="T20" s="1587"/>
      <c r="U20" s="1588"/>
    </row>
    <row r="21" spans="2:23" x14ac:dyDescent="0.65">
      <c r="B21" s="1589" t="s">
        <v>160</v>
      </c>
      <c r="C21" s="1591"/>
      <c r="D21" s="212">
        <v>2.516E-3</v>
      </c>
      <c r="E21" s="213">
        <v>61.46</v>
      </c>
      <c r="F21" s="216">
        <v>3</v>
      </c>
      <c r="G21" s="213">
        <v>0.6</v>
      </c>
      <c r="H21" s="215">
        <v>0.15462999999999999</v>
      </c>
      <c r="I21" s="212">
        <v>7.548E-3</v>
      </c>
      <c r="J21" s="212">
        <v>1.5100000000000001E-3</v>
      </c>
      <c r="M21" s="217" t="s">
        <v>161</v>
      </c>
      <c r="N21" s="19">
        <v>10000000000</v>
      </c>
      <c r="O21" s="218" t="s">
        <v>162</v>
      </c>
      <c r="S21" t="s">
        <v>678</v>
      </c>
      <c r="T21">
        <v>4.49</v>
      </c>
      <c r="U21" t="s">
        <v>679</v>
      </c>
      <c r="W21" s="18" t="s">
        <v>681</v>
      </c>
    </row>
    <row r="22" spans="2:23" x14ac:dyDescent="0.65">
      <c r="B22" s="1673" t="s">
        <v>163</v>
      </c>
      <c r="C22" s="1674"/>
      <c r="D22" s="1619"/>
      <c r="E22" s="1669"/>
      <c r="F22" s="1669"/>
      <c r="G22" s="1669"/>
      <c r="H22" s="1669"/>
      <c r="I22" s="1669"/>
      <c r="J22" s="1620"/>
      <c r="M22" s="217" t="s">
        <v>164</v>
      </c>
      <c r="N22" s="19">
        <v>1000000</v>
      </c>
      <c r="O22" s="218" t="s">
        <v>165</v>
      </c>
      <c r="S22" t="s">
        <v>682</v>
      </c>
      <c r="T22" s="219">
        <v>3.8999999999999999E-4</v>
      </c>
      <c r="U22" t="s">
        <v>680</v>
      </c>
    </row>
    <row r="23" spans="2:23" x14ac:dyDescent="0.65">
      <c r="B23" s="1589" t="s">
        <v>166</v>
      </c>
      <c r="C23" s="1591"/>
      <c r="D23" s="212">
        <v>4.8500000000000003E-4</v>
      </c>
      <c r="E23" s="213">
        <v>52.07</v>
      </c>
      <c r="F23" s="216">
        <v>3.2</v>
      </c>
      <c r="G23" s="213">
        <v>0.63</v>
      </c>
      <c r="H23" s="212">
        <v>2.5253999999999999E-2</v>
      </c>
      <c r="I23" s="212">
        <v>1.552E-3</v>
      </c>
      <c r="J23" s="212">
        <v>3.0600000000000001E-4</v>
      </c>
      <c r="M23" s="217" t="s">
        <v>167</v>
      </c>
      <c r="N23" s="19">
        <v>1</v>
      </c>
      <c r="O23" s="218" t="s">
        <v>168</v>
      </c>
      <c r="S23" t="s">
        <v>683</v>
      </c>
      <c r="T23">
        <v>7.93</v>
      </c>
      <c r="U23" t="s">
        <v>684</v>
      </c>
    </row>
    <row r="24" spans="2:23" x14ac:dyDescent="0.65">
      <c r="B24" s="1589" t="s">
        <v>169</v>
      </c>
      <c r="C24" s="1591"/>
      <c r="D24" s="212">
        <v>6.5499999999999998E-4</v>
      </c>
      <c r="E24" s="213">
        <v>52.07</v>
      </c>
      <c r="F24" s="216">
        <v>3.2</v>
      </c>
      <c r="G24" s="213">
        <v>0.63</v>
      </c>
      <c r="H24" s="212">
        <v>3.4105999999999997E-2</v>
      </c>
      <c r="I24" s="212">
        <v>2.0960000000000002E-3</v>
      </c>
      <c r="J24" s="212">
        <v>4.1300000000000001E-4</v>
      </c>
      <c r="M24" s="217" t="s">
        <v>170</v>
      </c>
      <c r="N24" s="19">
        <v>28</v>
      </c>
      <c r="O24" s="218" t="s">
        <v>168</v>
      </c>
      <c r="S24" t="s">
        <v>685</v>
      </c>
      <c r="T24">
        <v>8.8870000000000008E-3</v>
      </c>
      <c r="U24" t="s">
        <v>687</v>
      </c>
    </row>
    <row r="25" spans="2:23" x14ac:dyDescent="0.65">
      <c r="B25" s="1667" t="s">
        <v>171</v>
      </c>
      <c r="C25" s="1668"/>
      <c r="D25" s="1619"/>
      <c r="E25" s="1669"/>
      <c r="F25" s="1669"/>
      <c r="G25" s="1669"/>
      <c r="H25" s="1669"/>
      <c r="I25" s="1669"/>
      <c r="J25" s="1620"/>
      <c r="M25" s="217" t="s">
        <v>172</v>
      </c>
      <c r="N25" s="19">
        <v>265</v>
      </c>
      <c r="O25" s="218" t="s">
        <v>168</v>
      </c>
      <c r="S25" t="s">
        <v>686</v>
      </c>
      <c r="T25">
        <v>1.018E-3</v>
      </c>
      <c r="U25" t="s">
        <v>688</v>
      </c>
    </row>
    <row r="26" spans="2:23" x14ac:dyDescent="0.65">
      <c r="B26" s="1589" t="s">
        <v>173</v>
      </c>
      <c r="C26" s="1591"/>
      <c r="D26" s="214">
        <v>0.158</v>
      </c>
      <c r="E26" s="213">
        <v>75.36</v>
      </c>
      <c r="F26" s="216">
        <v>3</v>
      </c>
      <c r="G26" s="213">
        <v>0.6</v>
      </c>
      <c r="H26" s="213">
        <v>11.91</v>
      </c>
      <c r="I26" s="213">
        <v>0.47</v>
      </c>
      <c r="J26" s="213">
        <v>0.09</v>
      </c>
      <c r="M26" s="217" t="s">
        <v>174</v>
      </c>
      <c r="N26">
        <v>5.0000000000000001E-4</v>
      </c>
      <c r="O26" s="218" t="s">
        <v>175</v>
      </c>
      <c r="S26" t="s">
        <v>689</v>
      </c>
      <c r="T26">
        <v>2.89</v>
      </c>
      <c r="U26" t="s">
        <v>690</v>
      </c>
    </row>
    <row r="27" spans="2:23" x14ac:dyDescent="0.65">
      <c r="B27" s="1589" t="s">
        <v>176</v>
      </c>
      <c r="C27" s="1591"/>
      <c r="D27" s="214">
        <v>0.12</v>
      </c>
      <c r="E27" s="213">
        <v>69.25</v>
      </c>
      <c r="F27" s="216">
        <v>3</v>
      </c>
      <c r="G27" s="213">
        <v>0.6</v>
      </c>
      <c r="H27" s="213">
        <v>8.31</v>
      </c>
      <c r="I27" s="213">
        <v>0.36</v>
      </c>
      <c r="J27" s="213">
        <v>7.0000000000000007E-2</v>
      </c>
      <c r="M27" s="217" t="s">
        <v>174</v>
      </c>
      <c r="N27">
        <v>4.53592E-4</v>
      </c>
      <c r="O27" s="218" t="s">
        <v>165</v>
      </c>
      <c r="S27" t="s">
        <v>691</v>
      </c>
      <c r="T27">
        <v>3596</v>
      </c>
      <c r="U27" t="s">
        <v>692</v>
      </c>
    </row>
    <row r="28" spans="2:23" x14ac:dyDescent="0.65">
      <c r="B28" s="1589" t="s">
        <v>177</v>
      </c>
      <c r="C28" s="1591"/>
      <c r="D28" s="214">
        <v>0.10299999999999999</v>
      </c>
      <c r="E28" s="213">
        <v>64.77</v>
      </c>
      <c r="F28" s="216">
        <v>3</v>
      </c>
      <c r="G28" s="213">
        <v>0.6</v>
      </c>
      <c r="H28" s="213">
        <v>6.67</v>
      </c>
      <c r="I28" s="213"/>
      <c r="J28" s="213">
        <v>0.06</v>
      </c>
      <c r="M28" s="217" t="s">
        <v>178</v>
      </c>
      <c r="N28">
        <v>0.62137100000000001</v>
      </c>
      <c r="O28" s="218" t="s">
        <v>179</v>
      </c>
      <c r="S28" t="s">
        <v>777</v>
      </c>
      <c r="T28">
        <v>181.3</v>
      </c>
      <c r="U28" t="s">
        <v>776</v>
      </c>
    </row>
    <row r="29" spans="2:23" x14ac:dyDescent="0.65">
      <c r="B29" s="1589" t="s">
        <v>180</v>
      </c>
      <c r="C29" s="1591"/>
      <c r="D29" s="214">
        <v>0.105</v>
      </c>
      <c r="E29" s="213">
        <v>68.72</v>
      </c>
      <c r="F29" s="216">
        <v>3</v>
      </c>
      <c r="G29" s="213">
        <v>0.6</v>
      </c>
      <c r="H29" s="213">
        <v>7.22</v>
      </c>
      <c r="I29" s="213">
        <v>0.32</v>
      </c>
      <c r="J29" s="213">
        <v>0.06</v>
      </c>
      <c r="M29" s="217" t="s">
        <v>181</v>
      </c>
      <c r="N29" s="219">
        <v>9.9999999999999995E-7</v>
      </c>
      <c r="O29" s="218" t="s">
        <v>182</v>
      </c>
    </row>
    <row r="30" spans="2:23" x14ac:dyDescent="0.65">
      <c r="B30" s="1589" t="s">
        <v>183</v>
      </c>
      <c r="C30" s="1591"/>
      <c r="D30" s="214">
        <v>0.13800000000000001</v>
      </c>
      <c r="E30" s="213">
        <v>74.540000000000006</v>
      </c>
      <c r="F30" s="216">
        <v>3</v>
      </c>
      <c r="G30" s="213">
        <v>0.6</v>
      </c>
      <c r="H30" s="213">
        <v>10.29</v>
      </c>
      <c r="I30" s="213">
        <v>0.41</v>
      </c>
      <c r="J30" s="213">
        <v>0.08</v>
      </c>
      <c r="M30" s="217" t="s">
        <v>184</v>
      </c>
      <c r="N30">
        <v>1000</v>
      </c>
      <c r="O30" s="218" t="s">
        <v>185</v>
      </c>
    </row>
    <row r="31" spans="2:23" x14ac:dyDescent="0.65">
      <c r="B31" s="1589" t="s">
        <v>186</v>
      </c>
      <c r="C31" s="1591"/>
      <c r="D31" s="214">
        <v>0.13900000000000001</v>
      </c>
      <c r="E31" s="213">
        <v>73.25</v>
      </c>
      <c r="F31" s="216">
        <v>3</v>
      </c>
      <c r="G31" s="213">
        <v>0.6</v>
      </c>
      <c r="H31" s="213">
        <v>10.18</v>
      </c>
      <c r="I31" s="213">
        <v>0.42</v>
      </c>
      <c r="J31" s="213">
        <v>0.08</v>
      </c>
      <c r="M31" s="217" t="s">
        <v>187</v>
      </c>
      <c r="N31">
        <v>1E-3</v>
      </c>
      <c r="O31" s="218" t="s">
        <v>188</v>
      </c>
    </row>
    <row r="32" spans="2:23" x14ac:dyDescent="0.65">
      <c r="B32" s="1589" t="s">
        <v>189</v>
      </c>
      <c r="C32" s="1591"/>
      <c r="D32" s="214">
        <v>0.13800000000000001</v>
      </c>
      <c r="E32" s="213">
        <v>73.959999999999994</v>
      </c>
      <c r="F32" s="216">
        <v>3</v>
      </c>
      <c r="G32" s="213">
        <v>0.6</v>
      </c>
      <c r="H32" s="213">
        <v>10.210000000000001</v>
      </c>
      <c r="I32" s="213">
        <v>0.41</v>
      </c>
      <c r="J32" s="213">
        <v>0.08</v>
      </c>
      <c r="M32" s="217" t="s">
        <v>190</v>
      </c>
      <c r="N32">
        <v>1.03412E-2</v>
      </c>
      <c r="O32" s="218" t="s">
        <v>162</v>
      </c>
    </row>
    <row r="33" spans="2:18" x14ac:dyDescent="0.65">
      <c r="B33" s="1589" t="s">
        <v>191</v>
      </c>
      <c r="C33" s="1591"/>
      <c r="D33" s="214">
        <v>0.14599999999999999</v>
      </c>
      <c r="E33" s="213">
        <v>75.040000000000006</v>
      </c>
      <c r="F33" s="216">
        <v>3</v>
      </c>
      <c r="G33" s="213">
        <v>0.6</v>
      </c>
      <c r="H33" s="213">
        <v>10.96</v>
      </c>
      <c r="I33" s="213">
        <v>0.44</v>
      </c>
      <c r="J33" s="213">
        <v>0.09</v>
      </c>
      <c r="M33" s="217" t="s">
        <v>192</v>
      </c>
      <c r="N33">
        <v>82.62</v>
      </c>
      <c r="O33" s="218" t="s">
        <v>193</v>
      </c>
    </row>
    <row r="34" spans="2:18" x14ac:dyDescent="0.65">
      <c r="B34" s="1589" t="s">
        <v>194</v>
      </c>
      <c r="C34" s="1591"/>
      <c r="D34" s="214">
        <v>6.8000000000000005E-2</v>
      </c>
      <c r="E34" s="213">
        <v>59.6</v>
      </c>
      <c r="F34" s="216">
        <v>3</v>
      </c>
      <c r="G34" s="213">
        <v>0.6</v>
      </c>
      <c r="H34" s="213">
        <v>4.05</v>
      </c>
      <c r="I34" s="213">
        <v>0.2</v>
      </c>
      <c r="J34" s="213">
        <v>0.04</v>
      </c>
      <c r="M34" s="217" t="s">
        <v>187</v>
      </c>
      <c r="N34">
        <v>2204.62</v>
      </c>
      <c r="O34" s="218" t="s">
        <v>195</v>
      </c>
    </row>
    <row r="35" spans="2:18" x14ac:dyDescent="0.65">
      <c r="B35" s="1589" t="s">
        <v>196</v>
      </c>
      <c r="C35" s="1591"/>
      <c r="D35" s="214">
        <v>5.8000000000000003E-2</v>
      </c>
      <c r="E35" s="213">
        <v>65.959999999999994</v>
      </c>
      <c r="F35" s="216">
        <v>3</v>
      </c>
      <c r="G35" s="213">
        <v>0.6</v>
      </c>
      <c r="H35" s="213">
        <v>3.83</v>
      </c>
      <c r="I35" s="213">
        <v>0.17</v>
      </c>
      <c r="J35" s="213">
        <v>0.03</v>
      </c>
      <c r="M35" s="217" t="s">
        <v>197</v>
      </c>
      <c r="N35">
        <v>10</v>
      </c>
      <c r="O35" s="218" t="s">
        <v>198</v>
      </c>
      <c r="P35" s="18"/>
    </row>
    <row r="36" spans="2:18" x14ac:dyDescent="0.65">
      <c r="B36" s="1589" t="s">
        <v>199</v>
      </c>
      <c r="C36" s="1591"/>
      <c r="D36" s="214">
        <v>0.14799999999999999</v>
      </c>
      <c r="E36" s="213">
        <v>74.92</v>
      </c>
      <c r="F36" s="216">
        <v>3</v>
      </c>
      <c r="G36" s="213">
        <v>0.6</v>
      </c>
      <c r="H36" s="213">
        <v>11.09</v>
      </c>
      <c r="I36" s="213">
        <v>0.44</v>
      </c>
      <c r="J36" s="213">
        <v>0.09</v>
      </c>
      <c r="M36" s="217" t="s">
        <v>200</v>
      </c>
      <c r="N36">
        <v>0.1</v>
      </c>
      <c r="O36" s="218" t="s">
        <v>201</v>
      </c>
      <c r="P36" s="18"/>
      <c r="R36" s="18" t="s">
        <v>693</v>
      </c>
    </row>
    <row r="37" spans="2:18" x14ac:dyDescent="0.65">
      <c r="B37" s="1589" t="s">
        <v>202</v>
      </c>
      <c r="C37" s="1591"/>
      <c r="D37" s="214">
        <v>9.9000000000000005E-2</v>
      </c>
      <c r="E37" s="213">
        <v>64.94</v>
      </c>
      <c r="F37" s="216">
        <v>3</v>
      </c>
      <c r="G37" s="213">
        <v>0.6</v>
      </c>
      <c r="H37" s="213">
        <v>6.43</v>
      </c>
      <c r="I37" s="213">
        <v>0.3</v>
      </c>
      <c r="J37" s="213">
        <v>0.06</v>
      </c>
      <c r="M37" s="217" t="s">
        <v>203</v>
      </c>
      <c r="N37">
        <v>1.0002387999999999E-2</v>
      </c>
      <c r="O37" s="218" t="s">
        <v>198</v>
      </c>
      <c r="P37" s="18"/>
    </row>
    <row r="38" spans="2:18" x14ac:dyDescent="0.65">
      <c r="B38" s="1589" t="s">
        <v>204</v>
      </c>
      <c r="C38" s="1591"/>
      <c r="D38" s="214">
        <v>0.10299999999999999</v>
      </c>
      <c r="E38" s="213">
        <v>68.86</v>
      </c>
      <c r="F38" s="216">
        <v>3</v>
      </c>
      <c r="G38" s="213">
        <v>0.6</v>
      </c>
      <c r="H38" s="213">
        <v>7.09</v>
      </c>
      <c r="I38" s="213">
        <v>0.31</v>
      </c>
      <c r="J38" s="213">
        <v>0.06</v>
      </c>
      <c r="M38" s="217" t="s">
        <v>203</v>
      </c>
      <c r="N38">
        <v>2.9307109999999998E-4</v>
      </c>
      <c r="O38" s="218" t="s">
        <v>101</v>
      </c>
      <c r="P38" s="18" t="s">
        <v>205</v>
      </c>
    </row>
    <row r="39" spans="2:18" x14ac:dyDescent="0.65">
      <c r="B39" s="1589" t="s">
        <v>206</v>
      </c>
      <c r="C39" s="1591"/>
      <c r="D39" s="214">
        <v>0.13500000000000001</v>
      </c>
      <c r="E39" s="213">
        <v>75.2</v>
      </c>
      <c r="F39" s="216">
        <v>3</v>
      </c>
      <c r="G39" s="213">
        <v>0.6</v>
      </c>
      <c r="H39" s="213">
        <v>10.15</v>
      </c>
      <c r="I39" s="213">
        <v>0.41</v>
      </c>
      <c r="J39" s="213">
        <v>0.08</v>
      </c>
      <c r="M39" s="217" t="s">
        <v>200</v>
      </c>
      <c r="N39" s="19">
        <v>100000</v>
      </c>
      <c r="O39" s="218" t="s">
        <v>207</v>
      </c>
    </row>
    <row r="40" spans="2:18" x14ac:dyDescent="0.65">
      <c r="B40" s="1589" t="s">
        <v>208</v>
      </c>
      <c r="C40" s="1591"/>
      <c r="D40" s="214">
        <v>0.13500000000000001</v>
      </c>
      <c r="E40" s="213">
        <v>72.22</v>
      </c>
      <c r="F40" s="216">
        <v>3</v>
      </c>
      <c r="G40" s="213">
        <v>0.6</v>
      </c>
      <c r="H40" s="213">
        <v>9.75</v>
      </c>
      <c r="I40" s="213">
        <v>0.41</v>
      </c>
      <c r="J40" s="213">
        <v>0.08</v>
      </c>
      <c r="M40" s="217" t="s">
        <v>209</v>
      </c>
      <c r="N40" s="19">
        <v>91000</v>
      </c>
      <c r="O40" s="218" t="s">
        <v>207</v>
      </c>
    </row>
    <row r="41" spans="2:18" x14ac:dyDescent="0.65">
      <c r="B41" s="1589" t="s">
        <v>210</v>
      </c>
      <c r="C41" s="1591"/>
      <c r="D41" s="214">
        <v>9.1999999999999998E-2</v>
      </c>
      <c r="E41" s="213">
        <v>61.71</v>
      </c>
      <c r="F41" s="216">
        <v>3</v>
      </c>
      <c r="G41" s="213">
        <v>0.6</v>
      </c>
      <c r="H41" s="213">
        <v>5.68</v>
      </c>
      <c r="I41" s="213">
        <v>0.28000000000000003</v>
      </c>
      <c r="J41" s="213">
        <v>0.06</v>
      </c>
      <c r="M41" s="217" t="s">
        <v>211</v>
      </c>
      <c r="N41" s="19">
        <v>148800</v>
      </c>
      <c r="O41" s="218" t="s">
        <v>207</v>
      </c>
    </row>
    <row r="42" spans="2:18" x14ac:dyDescent="0.65">
      <c r="B42" s="1589" t="s">
        <v>212</v>
      </c>
      <c r="C42" s="1591"/>
      <c r="D42" s="214">
        <v>0.14399999999999999</v>
      </c>
      <c r="E42" s="213">
        <v>74.27</v>
      </c>
      <c r="F42" s="216">
        <v>3</v>
      </c>
      <c r="G42" s="213">
        <v>0.6</v>
      </c>
      <c r="H42" s="213">
        <v>10.69</v>
      </c>
      <c r="I42" s="213">
        <v>0.43</v>
      </c>
      <c r="J42" s="213">
        <v>0.09</v>
      </c>
      <c r="M42" s="217" t="s">
        <v>213</v>
      </c>
      <c r="N42" s="19">
        <v>140000</v>
      </c>
      <c r="O42" s="218" t="s">
        <v>207</v>
      </c>
      <c r="P42" s="18" t="s">
        <v>214</v>
      </c>
    </row>
    <row r="43" spans="2:18" x14ac:dyDescent="0.65">
      <c r="B43" s="1589" t="s">
        <v>215</v>
      </c>
      <c r="C43" s="1591"/>
      <c r="D43" s="214">
        <v>0.125</v>
      </c>
      <c r="E43" s="213">
        <v>70.22</v>
      </c>
      <c r="F43" s="216">
        <v>3</v>
      </c>
      <c r="G43" s="213">
        <v>0.6</v>
      </c>
      <c r="H43" s="213">
        <v>8.7799999999999994</v>
      </c>
      <c r="I43" s="213">
        <v>0.38</v>
      </c>
      <c r="J43" s="213">
        <v>0.08</v>
      </c>
      <c r="M43" s="217" t="s">
        <v>216</v>
      </c>
      <c r="N43" s="19">
        <v>91452</v>
      </c>
      <c r="O43" s="218" t="s">
        <v>207</v>
      </c>
    </row>
    <row r="44" spans="2:18" x14ac:dyDescent="0.65">
      <c r="B44" s="1589" t="s">
        <v>217</v>
      </c>
      <c r="C44" s="1591"/>
      <c r="D44" s="214">
        <v>0.125</v>
      </c>
      <c r="E44" s="213">
        <v>68.02</v>
      </c>
      <c r="F44" s="216">
        <v>3</v>
      </c>
      <c r="G44" s="213">
        <v>0.6</v>
      </c>
      <c r="H44" s="213">
        <v>8.5</v>
      </c>
      <c r="I44" s="213">
        <v>0.38</v>
      </c>
      <c r="J44" s="213">
        <v>0.08</v>
      </c>
      <c r="M44" s="217" t="s">
        <v>218</v>
      </c>
      <c r="N44" s="219">
        <v>9.9999999999999995E-7</v>
      </c>
      <c r="O44" s="218" t="s">
        <v>219</v>
      </c>
    </row>
    <row r="45" spans="2:18" x14ac:dyDescent="0.65">
      <c r="B45" s="1589" t="s">
        <v>220</v>
      </c>
      <c r="C45" s="1591"/>
      <c r="D45" s="214">
        <v>0.11</v>
      </c>
      <c r="E45" s="213">
        <v>66.88</v>
      </c>
      <c r="F45" s="216">
        <v>3</v>
      </c>
      <c r="G45" s="213">
        <v>0.6</v>
      </c>
      <c r="H45" s="213">
        <v>7.36</v>
      </c>
      <c r="I45" s="213">
        <v>0.33</v>
      </c>
      <c r="J45" s="213">
        <v>7.0000000000000007E-2</v>
      </c>
      <c r="L45" t="s">
        <v>221</v>
      </c>
      <c r="M45" s="217" t="s">
        <v>222</v>
      </c>
      <c r="N45">
        <v>20</v>
      </c>
      <c r="O45" s="218" t="s">
        <v>219</v>
      </c>
    </row>
    <row r="46" spans="2:18" x14ac:dyDescent="0.65">
      <c r="B46" s="1589" t="s">
        <v>223</v>
      </c>
      <c r="C46" s="1591"/>
      <c r="D46" s="214">
        <v>0.13900000000000001</v>
      </c>
      <c r="E46" s="213">
        <v>76.22</v>
      </c>
      <c r="F46" s="216">
        <v>3</v>
      </c>
      <c r="G46" s="213">
        <v>0.6</v>
      </c>
      <c r="H46" s="213">
        <v>10.59</v>
      </c>
      <c r="I46" s="213">
        <v>0.42</v>
      </c>
      <c r="J46" s="213">
        <v>0.08</v>
      </c>
      <c r="L46" t="s">
        <v>221</v>
      </c>
      <c r="M46" s="217" t="s">
        <v>224</v>
      </c>
      <c r="N46">
        <v>0.05</v>
      </c>
      <c r="O46" s="218" t="s">
        <v>225</v>
      </c>
      <c r="P46" s="18" t="s">
        <v>226</v>
      </c>
    </row>
    <row r="47" spans="2:18" x14ac:dyDescent="0.65">
      <c r="B47" s="1589" t="s">
        <v>227</v>
      </c>
      <c r="C47" s="1591"/>
      <c r="D47" s="214">
        <v>0.11</v>
      </c>
      <c r="E47" s="213">
        <v>70.02</v>
      </c>
      <c r="F47" s="216">
        <v>3</v>
      </c>
      <c r="G47" s="213">
        <v>0.6</v>
      </c>
      <c r="H47" s="213">
        <v>7.7</v>
      </c>
      <c r="I47" s="213">
        <v>0.33</v>
      </c>
      <c r="J47" s="213">
        <v>7.0000000000000007E-2</v>
      </c>
      <c r="L47" t="s">
        <v>221</v>
      </c>
      <c r="M47" s="217" t="s">
        <v>222</v>
      </c>
      <c r="N47" s="19">
        <v>3000</v>
      </c>
      <c r="O47" s="218" t="s">
        <v>228</v>
      </c>
    </row>
    <row r="48" spans="2:18" x14ac:dyDescent="0.65">
      <c r="B48" s="1589" t="s">
        <v>229</v>
      </c>
      <c r="C48" s="1591"/>
      <c r="D48" s="214">
        <v>0.125</v>
      </c>
      <c r="E48" s="213">
        <v>71.02</v>
      </c>
      <c r="F48" s="216">
        <v>3</v>
      </c>
      <c r="G48" s="213">
        <v>0.6</v>
      </c>
      <c r="H48" s="213">
        <v>8.8800000000000008</v>
      </c>
      <c r="I48" s="213">
        <v>0.38</v>
      </c>
      <c r="J48" s="213">
        <v>0.08</v>
      </c>
      <c r="M48" s="217" t="s">
        <v>230</v>
      </c>
      <c r="N48" s="211">
        <v>1E-3</v>
      </c>
      <c r="O48" s="218" t="s">
        <v>101</v>
      </c>
    </row>
    <row r="49" spans="2:16" x14ac:dyDescent="0.65">
      <c r="B49" s="1589" t="s">
        <v>95</v>
      </c>
      <c r="C49" s="1591"/>
      <c r="D49" s="214">
        <v>9.0999999999999998E-2</v>
      </c>
      <c r="E49" s="213">
        <v>62.87</v>
      </c>
      <c r="F49" s="216">
        <v>3</v>
      </c>
      <c r="G49" s="213">
        <v>0.6</v>
      </c>
      <c r="H49" s="213">
        <v>5.72</v>
      </c>
      <c r="I49" s="213">
        <v>0.27</v>
      </c>
      <c r="J49" s="213">
        <v>0.05</v>
      </c>
      <c r="M49" s="217" t="s">
        <v>231</v>
      </c>
      <c r="N49" s="19">
        <v>275</v>
      </c>
      <c r="O49" s="218" t="s">
        <v>232</v>
      </c>
    </row>
    <row r="50" spans="2:16" x14ac:dyDescent="0.65">
      <c r="B50" s="1589" t="s">
        <v>233</v>
      </c>
      <c r="C50" s="1591"/>
      <c r="D50" s="214">
        <v>9.0999999999999998E-2</v>
      </c>
      <c r="E50" s="213">
        <v>67.77</v>
      </c>
      <c r="F50" s="216">
        <v>3</v>
      </c>
      <c r="G50" s="213">
        <v>0.6</v>
      </c>
      <c r="H50" s="213">
        <v>6.17</v>
      </c>
      <c r="I50" s="213">
        <v>0.27</v>
      </c>
      <c r="J50" s="213">
        <v>0.05</v>
      </c>
      <c r="M50" s="217" t="s">
        <v>234</v>
      </c>
      <c r="N50">
        <v>4.9511299999999998E-3</v>
      </c>
      <c r="O50" s="218" t="s">
        <v>235</v>
      </c>
    </row>
    <row r="51" spans="2:16" x14ac:dyDescent="0.65">
      <c r="B51" s="1589" t="s">
        <v>236</v>
      </c>
      <c r="C51" s="1591"/>
      <c r="D51" s="214">
        <v>0.14000000000000001</v>
      </c>
      <c r="E51" s="213">
        <v>72.930000000000007</v>
      </c>
      <c r="F51" s="216">
        <v>3</v>
      </c>
      <c r="G51" s="213">
        <v>0.6</v>
      </c>
      <c r="H51" s="213">
        <v>10.210000000000001</v>
      </c>
      <c r="I51" s="213">
        <v>0.42</v>
      </c>
      <c r="J51" s="213">
        <v>0.08</v>
      </c>
      <c r="M51" s="217" t="s">
        <v>237</v>
      </c>
      <c r="N51">
        <v>55</v>
      </c>
      <c r="O51" s="218" t="s">
        <v>238</v>
      </c>
    </row>
    <row r="52" spans="2:16" x14ac:dyDescent="0.65">
      <c r="B52" s="1589" t="s">
        <v>239</v>
      </c>
      <c r="C52" s="1591"/>
      <c r="D52" s="214">
        <v>0.15</v>
      </c>
      <c r="E52" s="213">
        <v>75.099999999999994</v>
      </c>
      <c r="F52" s="216">
        <v>3</v>
      </c>
      <c r="G52" s="213">
        <v>0.6</v>
      </c>
      <c r="H52" s="213">
        <v>11.27</v>
      </c>
      <c r="I52" s="213">
        <v>0.45</v>
      </c>
      <c r="J52" s="213">
        <v>0.09</v>
      </c>
      <c r="M52" s="217" t="s">
        <v>174</v>
      </c>
      <c r="N52">
        <v>5.0000000000000001E-4</v>
      </c>
      <c r="O52" s="218" t="s">
        <v>175</v>
      </c>
    </row>
    <row r="53" spans="2:16" x14ac:dyDescent="0.65">
      <c r="B53" s="1589" t="s">
        <v>240</v>
      </c>
      <c r="C53" s="1591"/>
      <c r="D53" s="214">
        <v>0.125</v>
      </c>
      <c r="E53" s="213">
        <v>72.34</v>
      </c>
      <c r="F53" s="216">
        <v>3</v>
      </c>
      <c r="G53" s="213">
        <v>0.6</v>
      </c>
      <c r="H53" s="213">
        <v>9.0399999999999991</v>
      </c>
      <c r="I53" s="213">
        <v>0.38</v>
      </c>
      <c r="J53" s="213">
        <v>0.08</v>
      </c>
      <c r="M53" s="217" t="s">
        <v>241</v>
      </c>
      <c r="N53">
        <v>9.9529999999999994</v>
      </c>
      <c r="O53" s="218" t="s">
        <v>219</v>
      </c>
    </row>
    <row r="54" spans="2:16" ht="15" thickBot="1" x14ac:dyDescent="0.8">
      <c r="B54" s="1589" t="s">
        <v>242</v>
      </c>
      <c r="C54" s="1591"/>
      <c r="D54" s="214">
        <v>0.13900000000000001</v>
      </c>
      <c r="E54" s="213">
        <v>74.540000000000006</v>
      </c>
      <c r="F54" s="216">
        <v>3</v>
      </c>
      <c r="G54" s="213">
        <v>0.6</v>
      </c>
      <c r="H54" s="213">
        <v>10.36</v>
      </c>
      <c r="I54" s="213">
        <v>0.42</v>
      </c>
      <c r="J54" s="213">
        <v>0.08</v>
      </c>
      <c r="M54" s="220" t="s">
        <v>243</v>
      </c>
      <c r="N54" s="221">
        <v>1E-3</v>
      </c>
      <c r="O54" s="222" t="s">
        <v>244</v>
      </c>
    </row>
    <row r="55" spans="2:16" x14ac:dyDescent="0.65">
      <c r="B55" s="1589" t="s">
        <v>245</v>
      </c>
      <c r="C55" s="1591"/>
      <c r="D55" s="214">
        <v>0.13800000000000001</v>
      </c>
      <c r="E55" s="213">
        <v>74</v>
      </c>
      <c r="F55" s="216">
        <v>3</v>
      </c>
      <c r="G55" s="213">
        <v>0.6</v>
      </c>
      <c r="H55" s="213">
        <v>10.210000000000001</v>
      </c>
      <c r="I55" s="213">
        <v>0.41</v>
      </c>
      <c r="J55" s="213">
        <v>0.08</v>
      </c>
      <c r="M55" s="217" t="s">
        <v>246</v>
      </c>
      <c r="N55">
        <v>1.1000000000000001</v>
      </c>
      <c r="O55" s="218" t="s">
        <v>247</v>
      </c>
    </row>
    <row r="56" spans="2:16" x14ac:dyDescent="0.65">
      <c r="B56" s="1667" t="s">
        <v>248</v>
      </c>
      <c r="C56" s="1668"/>
      <c r="D56" s="1619"/>
      <c r="E56" s="1669"/>
      <c r="F56" s="1669"/>
      <c r="G56" s="1669"/>
      <c r="H56" s="1669"/>
      <c r="I56" s="1669"/>
      <c r="J56" s="1620"/>
      <c r="M56" s="217" t="s">
        <v>249</v>
      </c>
      <c r="N56">
        <v>40.6</v>
      </c>
      <c r="O56" s="218" t="s">
        <v>185</v>
      </c>
    </row>
    <row r="57" spans="2:16" x14ac:dyDescent="0.65">
      <c r="B57" s="1589" t="s">
        <v>250</v>
      </c>
      <c r="C57" s="1591"/>
      <c r="D57" s="214">
        <v>0.128</v>
      </c>
      <c r="E57" s="213">
        <v>73.84</v>
      </c>
      <c r="F57" s="216">
        <v>1.1000000000000001</v>
      </c>
      <c r="G57" s="213">
        <v>0.11</v>
      </c>
      <c r="H57" s="213">
        <v>9.4499999999999993</v>
      </c>
      <c r="I57" s="213">
        <v>0.14000000000000001</v>
      </c>
      <c r="J57" s="213">
        <v>0.01</v>
      </c>
      <c r="M57" s="217" t="s">
        <v>216</v>
      </c>
      <c r="N57">
        <v>27</v>
      </c>
      <c r="O57" s="218" t="s">
        <v>185</v>
      </c>
    </row>
    <row r="58" spans="2:16" x14ac:dyDescent="0.65">
      <c r="B58" s="1589" t="s">
        <v>251</v>
      </c>
      <c r="C58" s="1591"/>
      <c r="D58" s="214">
        <v>8.4000000000000005E-2</v>
      </c>
      <c r="E58" s="213">
        <v>68.44</v>
      </c>
      <c r="F58" s="216">
        <v>1.1000000000000001</v>
      </c>
      <c r="G58" s="213">
        <v>0.11</v>
      </c>
      <c r="H58" s="213">
        <v>5.75</v>
      </c>
      <c r="I58" s="213">
        <v>0.09</v>
      </c>
      <c r="J58" s="213">
        <v>0.01</v>
      </c>
      <c r="M58" s="217" t="s">
        <v>200</v>
      </c>
      <c r="N58">
        <v>29.3</v>
      </c>
      <c r="O58" s="218" t="s">
        <v>185</v>
      </c>
    </row>
    <row r="59" spans="2:16" x14ac:dyDescent="0.65">
      <c r="B59" s="1589" t="s">
        <v>252</v>
      </c>
      <c r="C59" s="1591"/>
      <c r="D59" s="214">
        <v>0.125</v>
      </c>
      <c r="E59" s="213">
        <v>71.06</v>
      </c>
      <c r="F59" s="216">
        <v>1.1000000000000001</v>
      </c>
      <c r="G59" s="213">
        <v>0.11</v>
      </c>
      <c r="H59" s="213">
        <v>8.8800000000000008</v>
      </c>
      <c r="I59" s="213">
        <v>0.14000000000000001</v>
      </c>
      <c r="J59" s="213">
        <v>0.01</v>
      </c>
      <c r="M59" s="217" t="s">
        <v>222</v>
      </c>
      <c r="N59" s="19">
        <v>3690</v>
      </c>
      <c r="O59" s="218" t="s">
        <v>185</v>
      </c>
    </row>
    <row r="60" spans="2:16" x14ac:dyDescent="0.65">
      <c r="B60" s="1589" t="s">
        <v>253</v>
      </c>
      <c r="C60" s="1591"/>
      <c r="D60" s="214">
        <v>0.12</v>
      </c>
      <c r="E60" s="213">
        <v>81.55</v>
      </c>
      <c r="F60" s="216">
        <v>1.1000000000000001</v>
      </c>
      <c r="G60" s="213">
        <v>0.11</v>
      </c>
      <c r="H60" s="213">
        <v>9.7899999999999991</v>
      </c>
      <c r="I60" s="213">
        <v>0.13</v>
      </c>
      <c r="J60" s="213">
        <v>0.01</v>
      </c>
      <c r="M60" s="217" t="s">
        <v>1167</v>
      </c>
      <c r="N60" s="19">
        <v>12000</v>
      </c>
      <c r="O60" s="218" t="s">
        <v>1168</v>
      </c>
    </row>
    <row r="61" spans="2:16" ht="27.75" customHeight="1" x14ac:dyDescent="0.65">
      <c r="B61" s="1662" t="s">
        <v>254</v>
      </c>
      <c r="C61" s="1663"/>
      <c r="D61" s="1664"/>
      <c r="E61" s="1665"/>
      <c r="F61" s="1665"/>
      <c r="G61" s="1665"/>
      <c r="H61" s="1665"/>
      <c r="I61" s="1665"/>
      <c r="J61" s="1666"/>
    </row>
    <row r="62" spans="2:16" x14ac:dyDescent="0.65">
      <c r="B62" s="1589" t="s">
        <v>255</v>
      </c>
      <c r="C62" s="1591"/>
      <c r="D62" s="1654"/>
      <c r="E62" s="216">
        <v>94.4</v>
      </c>
      <c r="F62" s="216">
        <v>1.9</v>
      </c>
      <c r="G62" s="213">
        <v>0.42</v>
      </c>
      <c r="H62" s="1656"/>
      <c r="I62" s="1657"/>
      <c r="J62" s="1658"/>
      <c r="P62" t="s">
        <v>875</v>
      </c>
    </row>
    <row r="63" spans="2:16" x14ac:dyDescent="0.65">
      <c r="B63" s="1589" t="s">
        <v>256</v>
      </c>
      <c r="C63" s="1591"/>
      <c r="D63" s="1654"/>
      <c r="E63" s="216">
        <v>93.7</v>
      </c>
      <c r="F63" s="216">
        <v>1.9</v>
      </c>
      <c r="G63" s="213">
        <v>0.42</v>
      </c>
      <c r="H63" s="1656"/>
      <c r="I63" s="1657"/>
      <c r="J63" s="1658"/>
      <c r="M63" t="s">
        <v>870</v>
      </c>
      <c r="N63">
        <f>1/1.155</f>
        <v>0.86580086580086579</v>
      </c>
      <c r="O63" t="s">
        <v>871</v>
      </c>
    </row>
    <row r="64" spans="2:16" x14ac:dyDescent="0.65">
      <c r="B64" s="1589" t="s">
        <v>257</v>
      </c>
      <c r="C64" s="1591"/>
      <c r="D64" s="1654"/>
      <c r="E64" s="216">
        <v>95.5</v>
      </c>
      <c r="F64" s="216">
        <v>1.9</v>
      </c>
      <c r="G64" s="213">
        <v>0.42</v>
      </c>
      <c r="H64" s="1656"/>
      <c r="I64" s="1657"/>
      <c r="J64" s="1658"/>
      <c r="M64" t="s">
        <v>872</v>
      </c>
      <c r="N64">
        <f>1/100</f>
        <v>0.01</v>
      </c>
      <c r="O64" t="s">
        <v>873</v>
      </c>
      <c r="P64">
        <f>1/N64</f>
        <v>100</v>
      </c>
    </row>
    <row r="65" spans="2:22" x14ac:dyDescent="0.65">
      <c r="B65" s="1589" t="s">
        <v>258</v>
      </c>
      <c r="C65" s="1591"/>
      <c r="D65" s="1654"/>
      <c r="E65" s="216">
        <v>93.7</v>
      </c>
      <c r="F65" s="216">
        <v>1.9</v>
      </c>
      <c r="G65" s="213">
        <v>0.42</v>
      </c>
      <c r="H65" s="1656"/>
      <c r="I65" s="1657"/>
      <c r="J65" s="1658"/>
      <c r="M65" t="s">
        <v>874</v>
      </c>
      <c r="N65">
        <v>0.877</v>
      </c>
      <c r="O65" t="s">
        <v>871</v>
      </c>
      <c r="P65">
        <f>1/N65</f>
        <v>1.1402508551881414</v>
      </c>
    </row>
    <row r="66" spans="2:22" x14ac:dyDescent="0.65">
      <c r="B66" s="1589" t="s">
        <v>259</v>
      </c>
      <c r="C66" s="1591"/>
      <c r="D66" s="1655"/>
      <c r="E66" s="216">
        <v>95.1</v>
      </c>
      <c r="F66" s="216">
        <v>1.9</v>
      </c>
      <c r="G66" s="213">
        <v>0.42</v>
      </c>
      <c r="H66" s="1659"/>
      <c r="I66" s="1660"/>
      <c r="J66" s="1661"/>
    </row>
    <row r="69" spans="2:22" x14ac:dyDescent="0.65">
      <c r="B69" s="223" t="s">
        <v>260</v>
      </c>
      <c r="C69" s="1648" t="s">
        <v>261</v>
      </c>
      <c r="D69" s="1649"/>
      <c r="E69" s="1649"/>
      <c r="F69" s="1649"/>
      <c r="G69" s="1649"/>
      <c r="H69" s="1649"/>
      <c r="I69" s="224"/>
      <c r="J69" s="224"/>
      <c r="K69" s="224"/>
      <c r="L69" s="224"/>
      <c r="P69" s="224"/>
      <c r="Q69" s="224"/>
    </row>
    <row r="70" spans="2:22" ht="13.9" customHeight="1" x14ac:dyDescent="0.65">
      <c r="B70" s="1650" t="s">
        <v>123</v>
      </c>
      <c r="C70" s="1651"/>
      <c r="D70" s="225" t="s">
        <v>262</v>
      </c>
      <c r="E70" s="226" t="s">
        <v>114</v>
      </c>
      <c r="F70" s="227"/>
      <c r="G70" s="1652"/>
      <c r="H70" s="1653"/>
      <c r="I70" s="228"/>
      <c r="J70" s="228"/>
      <c r="K70" s="228"/>
      <c r="L70" s="228"/>
      <c r="P70" s="229"/>
    </row>
    <row r="71" spans="2:22" x14ac:dyDescent="0.65">
      <c r="B71" s="1589" t="s">
        <v>176</v>
      </c>
      <c r="C71" s="1591"/>
      <c r="D71" s="230">
        <v>8.31</v>
      </c>
      <c r="E71" s="1644" t="s">
        <v>263</v>
      </c>
      <c r="F71" s="1645"/>
      <c r="G71" s="231"/>
      <c r="H71" s="228"/>
      <c r="I71" s="228"/>
      <c r="J71" s="228"/>
      <c r="P71" s="229"/>
      <c r="Q71" s="229"/>
    </row>
    <row r="72" spans="2:22" x14ac:dyDescent="0.65">
      <c r="B72" s="1589" t="s">
        <v>250</v>
      </c>
      <c r="C72" s="1591"/>
      <c r="D72" s="230">
        <v>9.4499999999999993</v>
      </c>
      <c r="E72" s="1644" t="s">
        <v>263</v>
      </c>
      <c r="F72" s="1645"/>
      <c r="G72" s="231"/>
      <c r="H72" s="228"/>
      <c r="I72" s="228"/>
      <c r="J72" s="228"/>
      <c r="P72" s="229"/>
      <c r="Q72" s="229"/>
    </row>
    <row r="73" spans="2:22" x14ac:dyDescent="0.65">
      <c r="B73" s="1589" t="s">
        <v>264</v>
      </c>
      <c r="C73" s="1591"/>
      <c r="D73" s="232">
        <v>5.4440000000000002E-2</v>
      </c>
      <c r="E73" s="1644" t="s">
        <v>265</v>
      </c>
      <c r="F73" s="1645"/>
      <c r="G73" s="231"/>
      <c r="H73" s="228"/>
      <c r="I73" s="228"/>
      <c r="J73" s="228"/>
      <c r="P73" s="229"/>
      <c r="Q73" s="229"/>
    </row>
    <row r="74" spans="2:22" x14ac:dyDescent="0.65">
      <c r="B74" s="1589" t="s">
        <v>266</v>
      </c>
      <c r="C74" s="1591"/>
      <c r="D74" s="230">
        <v>10.210000000000001</v>
      </c>
      <c r="E74" s="1644" t="s">
        <v>263</v>
      </c>
      <c r="F74" s="1645"/>
      <c r="G74" s="231"/>
      <c r="H74" s="228"/>
      <c r="I74" s="228"/>
      <c r="J74" s="228"/>
      <c r="K74" s="224"/>
      <c r="L74" s="224"/>
      <c r="P74" s="229"/>
      <c r="Q74" s="229"/>
    </row>
    <row r="75" spans="2:22" x14ac:dyDescent="0.65">
      <c r="B75" s="1589" t="s">
        <v>251</v>
      </c>
      <c r="C75" s="1591"/>
      <c r="D75" s="230">
        <v>5.75</v>
      </c>
      <c r="E75" s="1644" t="s">
        <v>263</v>
      </c>
      <c r="F75" s="1645"/>
      <c r="G75" s="231"/>
      <c r="H75" s="228"/>
      <c r="I75" s="228"/>
      <c r="J75" s="228"/>
      <c r="K75" s="228"/>
      <c r="L75" s="228"/>
      <c r="N75" s="233" t="s">
        <v>267</v>
      </c>
      <c r="O75" s="233"/>
      <c r="P75" s="229"/>
      <c r="Q75" s="229"/>
    </row>
    <row r="76" spans="2:22" x14ac:dyDescent="0.65">
      <c r="B76" s="1589" t="s">
        <v>208</v>
      </c>
      <c r="C76" s="1591"/>
      <c r="D76" s="230">
        <v>9.75</v>
      </c>
      <c r="E76" s="1644" t="s">
        <v>263</v>
      </c>
      <c r="F76" s="1645"/>
      <c r="G76" s="231"/>
      <c r="H76" s="228"/>
      <c r="I76" s="228"/>
      <c r="J76" s="228"/>
      <c r="K76" s="228"/>
      <c r="L76" s="228"/>
      <c r="N76" s="233" t="s">
        <v>268</v>
      </c>
      <c r="O76" s="233"/>
      <c r="P76" s="229"/>
      <c r="Q76" s="229"/>
      <c r="R76" s="224"/>
      <c r="S76" s="224"/>
      <c r="T76" s="224"/>
      <c r="U76" s="224"/>
      <c r="V76" s="224"/>
    </row>
    <row r="77" spans="2:22" x14ac:dyDescent="0.65">
      <c r="B77" s="1589" t="s">
        <v>269</v>
      </c>
      <c r="C77" s="1591"/>
      <c r="D77" s="230">
        <v>4.5</v>
      </c>
      <c r="E77" s="1644" t="s">
        <v>263</v>
      </c>
      <c r="F77" s="1645"/>
      <c r="G77" s="231"/>
      <c r="H77" s="228"/>
      <c r="I77" s="228"/>
      <c r="J77" s="228"/>
      <c r="K77" s="228"/>
      <c r="L77" s="228"/>
      <c r="N77" s="233">
        <v>5.4662000000000002E-2</v>
      </c>
      <c r="O77" s="233" t="s">
        <v>270</v>
      </c>
      <c r="P77" s="229"/>
      <c r="Q77" s="229"/>
      <c r="R77" s="229"/>
      <c r="S77" s="229"/>
      <c r="T77" s="229"/>
      <c r="U77" s="229"/>
      <c r="V77" s="229"/>
    </row>
    <row r="78" spans="2:22" x14ac:dyDescent="0.65">
      <c r="B78" s="1589" t="s">
        <v>210</v>
      </c>
      <c r="C78" s="1591"/>
      <c r="D78" s="230">
        <v>5.68</v>
      </c>
      <c r="E78" s="1644" t="s">
        <v>263</v>
      </c>
      <c r="F78" s="1645"/>
      <c r="G78" s="231"/>
      <c r="H78" s="228"/>
      <c r="I78" s="228"/>
      <c r="J78" s="228"/>
      <c r="K78" s="228"/>
      <c r="L78" s="228"/>
      <c r="N78" s="233"/>
      <c r="O78" s="233"/>
      <c r="P78" s="229"/>
      <c r="Q78" s="229"/>
      <c r="R78" s="229"/>
      <c r="S78" s="229"/>
      <c r="T78" s="229"/>
    </row>
    <row r="79" spans="2:22" x14ac:dyDescent="0.65">
      <c r="B79" s="1589" t="s">
        <v>215</v>
      </c>
      <c r="C79" s="1591"/>
      <c r="D79" s="230">
        <v>8.7799999999999994</v>
      </c>
      <c r="E79" s="1644" t="s">
        <v>263</v>
      </c>
      <c r="F79" s="1645"/>
      <c r="G79" s="231"/>
      <c r="H79" s="228"/>
      <c r="I79" s="228"/>
      <c r="J79" s="228"/>
      <c r="K79" s="228"/>
      <c r="L79" s="228"/>
      <c r="N79" s="233"/>
      <c r="O79" s="233"/>
      <c r="P79" s="229"/>
      <c r="Q79" s="229"/>
      <c r="R79" s="229"/>
      <c r="S79" s="229"/>
      <c r="T79" s="229"/>
    </row>
    <row r="80" spans="2:22" x14ac:dyDescent="0.65">
      <c r="B80" s="1589" t="s">
        <v>271</v>
      </c>
      <c r="C80" s="1591"/>
      <c r="D80" s="230">
        <v>11.27</v>
      </c>
      <c r="E80" s="1644" t="s">
        <v>263</v>
      </c>
      <c r="F80" s="1645"/>
      <c r="G80" s="231"/>
      <c r="H80" s="228"/>
      <c r="I80" s="228"/>
      <c r="J80" s="228"/>
      <c r="K80" s="228"/>
      <c r="L80" s="228"/>
      <c r="N80" s="233"/>
      <c r="O80" s="233"/>
      <c r="P80" s="229"/>
      <c r="Q80" s="229"/>
      <c r="R80" s="229"/>
      <c r="S80" s="229"/>
      <c r="T80" s="229"/>
    </row>
    <row r="81" spans="2:22" x14ac:dyDescent="0.65">
      <c r="N81" s="233" t="s">
        <v>272</v>
      </c>
      <c r="O81" s="233"/>
      <c r="R81" s="229"/>
      <c r="S81" s="229"/>
      <c r="T81" s="229"/>
    </row>
    <row r="82" spans="2:22" x14ac:dyDescent="0.65">
      <c r="N82" s="233" t="s">
        <v>273</v>
      </c>
      <c r="O82" s="233" t="s">
        <v>274</v>
      </c>
      <c r="R82" s="229"/>
      <c r="S82" s="229"/>
      <c r="T82" s="229"/>
    </row>
    <row r="83" spans="2:22" ht="13.9" customHeight="1" x14ac:dyDescent="0.65">
      <c r="B83" s="223" t="s">
        <v>275</v>
      </c>
      <c r="C83" s="234" t="s">
        <v>276</v>
      </c>
      <c r="D83" s="235"/>
      <c r="E83" s="235"/>
      <c r="F83" s="235"/>
      <c r="G83" s="235"/>
      <c r="H83" s="235"/>
      <c r="I83" s="235"/>
      <c r="J83" s="235"/>
      <c r="K83" s="235"/>
      <c r="L83" s="235"/>
      <c r="N83" s="233">
        <v>5.5799999999999999E-3</v>
      </c>
      <c r="O83" s="233">
        <v>2.41E-4</v>
      </c>
      <c r="P83" s="228"/>
      <c r="Q83" s="228"/>
      <c r="R83" s="229"/>
      <c r="S83" s="229"/>
      <c r="T83" s="229"/>
    </row>
    <row r="84" spans="2:22" x14ac:dyDescent="0.65">
      <c r="B84" s="1646" t="s">
        <v>277</v>
      </c>
      <c r="C84" s="1647"/>
      <c r="D84" s="1614" t="s">
        <v>278</v>
      </c>
      <c r="E84" s="1615"/>
      <c r="F84" s="1616"/>
      <c r="G84" s="1617" t="s">
        <v>279</v>
      </c>
      <c r="H84" s="1618"/>
      <c r="I84" s="1617" t="s">
        <v>280</v>
      </c>
      <c r="J84" s="1618"/>
      <c r="K84" s="231"/>
      <c r="L84" s="228"/>
      <c r="N84" s="233"/>
      <c r="O84" s="233"/>
      <c r="P84" s="229"/>
      <c r="Q84" s="229"/>
      <c r="R84" s="229"/>
      <c r="S84" s="229"/>
      <c r="T84" s="229"/>
    </row>
    <row r="85" spans="2:22" x14ac:dyDescent="0.65">
      <c r="B85" s="1594" t="s">
        <v>281</v>
      </c>
      <c r="C85" s="1595"/>
      <c r="D85" s="1589" t="s">
        <v>282</v>
      </c>
      <c r="E85" s="1590"/>
      <c r="F85" s="1591"/>
      <c r="G85" s="1623">
        <v>0.1696</v>
      </c>
      <c r="H85" s="1624"/>
      <c r="I85" s="1623">
        <v>1.9699999999999999E-2</v>
      </c>
      <c r="J85" s="1624"/>
      <c r="K85" s="231"/>
      <c r="L85" s="228"/>
      <c r="N85" s="233" t="s">
        <v>283</v>
      </c>
      <c r="O85" s="233"/>
      <c r="P85" s="229"/>
      <c r="Q85" s="229"/>
      <c r="R85" s="229"/>
      <c r="S85" s="229"/>
      <c r="T85" s="229"/>
    </row>
    <row r="86" spans="2:22" x14ac:dyDescent="0.65">
      <c r="B86" s="1596"/>
      <c r="C86" s="1597"/>
      <c r="D86" s="1633">
        <v>1975</v>
      </c>
      <c r="E86" s="1634"/>
      <c r="F86" s="1635"/>
      <c r="G86" s="1623">
        <v>0.14230000000000001</v>
      </c>
      <c r="H86" s="1624"/>
      <c r="I86" s="1623">
        <v>4.4299999999999999E-2</v>
      </c>
      <c r="J86" s="1624"/>
      <c r="K86" s="231"/>
      <c r="L86" s="228"/>
      <c r="N86" s="233" t="s">
        <v>284</v>
      </c>
      <c r="O86" s="233" t="s">
        <v>285</v>
      </c>
      <c r="P86" s="229"/>
      <c r="Q86" s="229"/>
      <c r="R86" s="229"/>
      <c r="S86" s="229"/>
      <c r="T86" s="229"/>
    </row>
    <row r="87" spans="2:22" x14ac:dyDescent="0.65">
      <c r="B87" s="1596"/>
      <c r="C87" s="1597"/>
      <c r="D87" s="1589" t="s">
        <v>286</v>
      </c>
      <c r="E87" s="1590"/>
      <c r="F87" s="1591"/>
      <c r="G87" s="1623">
        <v>0.1406</v>
      </c>
      <c r="H87" s="1624"/>
      <c r="I87" s="1623">
        <v>4.58E-2</v>
      </c>
      <c r="J87" s="1624"/>
      <c r="K87" s="231"/>
      <c r="L87" s="228"/>
      <c r="N87" s="233">
        <f>55*10^-3</f>
        <v>5.5E-2</v>
      </c>
      <c r="O87" s="233"/>
      <c r="P87" s="229"/>
      <c r="Q87" s="229"/>
      <c r="R87" s="229"/>
      <c r="S87" s="229"/>
      <c r="T87" s="229"/>
    </row>
    <row r="88" spans="2:22" x14ac:dyDescent="0.65">
      <c r="B88" s="1596"/>
      <c r="C88" s="1597"/>
      <c r="D88" s="1589" t="s">
        <v>287</v>
      </c>
      <c r="E88" s="1590"/>
      <c r="F88" s="1591"/>
      <c r="G88" s="1623">
        <v>0.1389</v>
      </c>
      <c r="H88" s="1624"/>
      <c r="I88" s="1623">
        <v>4.7300000000000002E-2</v>
      </c>
      <c r="J88" s="1624"/>
      <c r="K88" s="231"/>
      <c r="L88" s="228"/>
      <c r="N88" s="229"/>
      <c r="O88" s="229"/>
      <c r="P88" s="229"/>
      <c r="Q88" s="229"/>
    </row>
    <row r="89" spans="2:22" x14ac:dyDescent="0.65">
      <c r="B89" s="1596"/>
      <c r="C89" s="1597"/>
      <c r="D89" s="1633">
        <v>1980</v>
      </c>
      <c r="E89" s="1634"/>
      <c r="F89" s="1635"/>
      <c r="G89" s="1623">
        <v>0.1326</v>
      </c>
      <c r="H89" s="1624"/>
      <c r="I89" s="1623">
        <v>4.99E-2</v>
      </c>
      <c r="J89" s="1624"/>
      <c r="K89" s="231"/>
      <c r="L89" s="228"/>
      <c r="N89" s="229"/>
      <c r="O89" s="229"/>
      <c r="P89" s="229"/>
      <c r="Q89" s="229"/>
    </row>
    <row r="90" spans="2:22" x14ac:dyDescent="0.65">
      <c r="B90" s="1596"/>
      <c r="C90" s="1597"/>
      <c r="D90" s="1633">
        <v>1981</v>
      </c>
      <c r="E90" s="1634"/>
      <c r="F90" s="1635"/>
      <c r="G90" s="1623">
        <v>8.0199999999999994E-2</v>
      </c>
      <c r="H90" s="1624"/>
      <c r="I90" s="1623">
        <v>6.2600000000000003E-2</v>
      </c>
      <c r="J90" s="1624"/>
      <c r="K90" s="231"/>
      <c r="L90" s="228"/>
      <c r="N90" s="229"/>
      <c r="O90" s="229"/>
      <c r="P90" s="229"/>
      <c r="Q90" s="229"/>
      <c r="R90" s="228"/>
      <c r="S90" s="228"/>
      <c r="T90" s="228"/>
      <c r="U90" s="228"/>
      <c r="V90" s="228"/>
    </row>
    <row r="91" spans="2:22" x14ac:dyDescent="0.65">
      <c r="B91" s="1596"/>
      <c r="C91" s="1597"/>
      <c r="D91" s="1633">
        <v>1982</v>
      </c>
      <c r="E91" s="1634"/>
      <c r="F91" s="1635"/>
      <c r="G91" s="1623">
        <v>7.9500000000000001E-2</v>
      </c>
      <c r="H91" s="1624"/>
      <c r="I91" s="1623">
        <v>6.2700000000000006E-2</v>
      </c>
      <c r="J91" s="1624"/>
      <c r="K91" s="231"/>
      <c r="L91" s="228"/>
      <c r="M91" s="224"/>
      <c r="N91" s="229"/>
      <c r="O91" s="229"/>
      <c r="P91" s="229"/>
      <c r="Q91" s="229"/>
      <c r="R91" s="229"/>
      <c r="S91" s="229"/>
      <c r="T91" s="229"/>
      <c r="U91" s="229"/>
      <c r="V91" s="229"/>
    </row>
    <row r="92" spans="2:22" x14ac:dyDescent="0.65">
      <c r="B92" s="1596"/>
      <c r="C92" s="1597"/>
      <c r="D92" s="1633">
        <v>1983</v>
      </c>
      <c r="E92" s="1634"/>
      <c r="F92" s="1635"/>
      <c r="G92" s="1623">
        <v>7.8200000000000006E-2</v>
      </c>
      <c r="H92" s="1624"/>
      <c r="I92" s="1623">
        <v>6.3E-2</v>
      </c>
      <c r="J92" s="1624"/>
      <c r="K92" s="231"/>
      <c r="L92" s="228"/>
      <c r="M92" s="228"/>
      <c r="N92" s="229"/>
      <c r="O92" s="229"/>
      <c r="P92" s="229"/>
      <c r="Q92" s="229"/>
      <c r="R92" s="229"/>
      <c r="S92" s="229"/>
      <c r="T92" s="229"/>
      <c r="U92" s="229"/>
      <c r="V92" s="229"/>
    </row>
    <row r="93" spans="2:22" x14ac:dyDescent="0.65">
      <c r="B93" s="1596"/>
      <c r="C93" s="1597"/>
      <c r="D93" s="1589" t="s">
        <v>288</v>
      </c>
      <c r="E93" s="1590"/>
      <c r="F93" s="1591"/>
      <c r="G93" s="1623">
        <v>7.0400000000000004E-2</v>
      </c>
      <c r="H93" s="1624"/>
      <c r="I93" s="1623">
        <v>6.4699999999999994E-2</v>
      </c>
      <c r="J93" s="1624"/>
      <c r="K93" s="231"/>
      <c r="L93" s="228"/>
      <c r="M93" s="228"/>
      <c r="N93" s="229"/>
      <c r="O93" s="229"/>
      <c r="P93" s="229"/>
      <c r="Q93" s="229"/>
      <c r="R93" s="229"/>
      <c r="S93" s="229"/>
      <c r="T93" s="229"/>
      <c r="U93" s="229"/>
      <c r="V93" s="229"/>
    </row>
    <row r="94" spans="2:22" x14ac:dyDescent="0.65">
      <c r="B94" s="1596"/>
      <c r="C94" s="1597"/>
      <c r="D94" s="1633">
        <v>1994</v>
      </c>
      <c r="E94" s="1634"/>
      <c r="F94" s="1635"/>
      <c r="G94" s="1623">
        <v>6.1699999999999998E-2</v>
      </c>
      <c r="H94" s="1624"/>
      <c r="I94" s="1623">
        <v>6.0299999999999999E-2</v>
      </c>
      <c r="J94" s="1624"/>
      <c r="K94" s="231"/>
      <c r="L94" s="228"/>
      <c r="M94" s="228"/>
      <c r="N94" s="229"/>
      <c r="O94" s="229"/>
      <c r="P94" s="229"/>
      <c r="Q94" s="229"/>
      <c r="R94" s="229"/>
      <c r="S94" s="229"/>
      <c r="T94" s="229"/>
      <c r="U94" s="229"/>
      <c r="V94" s="229"/>
    </row>
    <row r="95" spans="2:22" x14ac:dyDescent="0.65">
      <c r="B95" s="1596"/>
      <c r="C95" s="1597"/>
      <c r="D95" s="1633">
        <v>1995</v>
      </c>
      <c r="E95" s="1634"/>
      <c r="F95" s="1635"/>
      <c r="G95" s="1623">
        <v>5.3100000000000001E-2</v>
      </c>
      <c r="H95" s="1624"/>
      <c r="I95" s="1623">
        <v>5.6000000000000001E-2</v>
      </c>
      <c r="J95" s="1624"/>
      <c r="K95" s="231"/>
      <c r="L95" s="228"/>
      <c r="M95" s="228"/>
      <c r="N95" s="229"/>
      <c r="O95" s="229"/>
      <c r="P95" s="229"/>
      <c r="Q95" s="229"/>
      <c r="R95" s="229"/>
      <c r="S95" s="229"/>
      <c r="T95" s="229"/>
      <c r="U95" s="229"/>
      <c r="V95" s="229"/>
    </row>
    <row r="96" spans="2:22" x14ac:dyDescent="0.65">
      <c r="B96" s="1596"/>
      <c r="C96" s="1597"/>
      <c r="D96" s="1633">
        <v>1996</v>
      </c>
      <c r="E96" s="1634"/>
      <c r="F96" s="1635"/>
      <c r="G96" s="1623">
        <v>4.3400000000000001E-2</v>
      </c>
      <c r="H96" s="1624"/>
      <c r="I96" s="1623">
        <v>5.0299999999999997E-2</v>
      </c>
      <c r="J96" s="1624"/>
      <c r="K96" s="231"/>
      <c r="L96" s="228"/>
      <c r="M96" s="228"/>
      <c r="N96" s="229"/>
      <c r="O96" s="229"/>
      <c r="P96" s="229"/>
      <c r="Q96" s="229"/>
      <c r="R96" s="229"/>
      <c r="S96" s="229"/>
      <c r="T96" s="229"/>
      <c r="U96" s="229"/>
      <c r="V96" s="229"/>
    </row>
    <row r="97" spans="2:22" x14ac:dyDescent="0.65">
      <c r="B97" s="1596"/>
      <c r="C97" s="1597"/>
      <c r="D97" s="1633">
        <v>1997</v>
      </c>
      <c r="E97" s="1634"/>
      <c r="F97" s="1635"/>
      <c r="G97" s="1623">
        <v>3.3700000000000001E-2</v>
      </c>
      <c r="H97" s="1624"/>
      <c r="I97" s="1623">
        <v>4.4600000000000001E-2</v>
      </c>
      <c r="J97" s="1624"/>
      <c r="K97" s="231"/>
      <c r="L97" s="228"/>
      <c r="M97" s="228"/>
      <c r="N97" s="229"/>
      <c r="O97" s="229"/>
      <c r="P97" s="229"/>
      <c r="Q97" s="229"/>
      <c r="R97" s="229"/>
      <c r="S97" s="229"/>
      <c r="T97" s="229"/>
      <c r="U97" s="229"/>
      <c r="V97" s="229"/>
    </row>
    <row r="98" spans="2:22" x14ac:dyDescent="0.65">
      <c r="B98" s="1596"/>
      <c r="C98" s="1597"/>
      <c r="D98" s="1633">
        <v>1998</v>
      </c>
      <c r="E98" s="1634"/>
      <c r="F98" s="1635"/>
      <c r="G98" s="1623">
        <v>2.4E-2</v>
      </c>
      <c r="H98" s="1624"/>
      <c r="I98" s="1623">
        <v>3.8899999999999997E-2</v>
      </c>
      <c r="J98" s="1624"/>
      <c r="K98" s="231"/>
      <c r="L98" s="228"/>
      <c r="M98" s="228"/>
      <c r="N98" s="228"/>
      <c r="O98" s="228"/>
      <c r="P98" s="229"/>
      <c r="Q98" s="229"/>
      <c r="R98" s="229"/>
      <c r="S98" s="229"/>
      <c r="T98" s="229"/>
      <c r="U98" s="229"/>
      <c r="V98" s="229"/>
    </row>
    <row r="99" spans="2:22" x14ac:dyDescent="0.65">
      <c r="B99" s="1596"/>
      <c r="C99" s="1597"/>
      <c r="D99" s="1633">
        <v>1999</v>
      </c>
      <c r="E99" s="1634"/>
      <c r="F99" s="1635"/>
      <c r="G99" s="1623">
        <v>2.1499999999999998E-2</v>
      </c>
      <c r="H99" s="1624"/>
      <c r="I99" s="1623">
        <v>3.5499999999999997E-2</v>
      </c>
      <c r="J99" s="1624"/>
      <c r="K99" s="231"/>
      <c r="L99" s="228"/>
      <c r="M99" s="228"/>
      <c r="N99" s="228"/>
      <c r="O99" s="228"/>
      <c r="P99" s="229"/>
      <c r="Q99" s="229"/>
      <c r="R99" s="229"/>
      <c r="S99" s="229"/>
      <c r="T99" s="229"/>
      <c r="U99" s="229"/>
      <c r="V99" s="229"/>
    </row>
    <row r="100" spans="2:22" x14ac:dyDescent="0.65">
      <c r="B100" s="1596"/>
      <c r="C100" s="1597"/>
      <c r="D100" s="1633">
        <v>2000</v>
      </c>
      <c r="E100" s="1634"/>
      <c r="F100" s="1635"/>
      <c r="G100" s="1623">
        <v>1.7500000000000002E-2</v>
      </c>
      <c r="H100" s="1624"/>
      <c r="I100" s="1623">
        <v>3.04E-2</v>
      </c>
      <c r="J100" s="1624"/>
      <c r="K100" s="231"/>
      <c r="L100" s="228"/>
      <c r="M100" s="228"/>
      <c r="N100" s="228"/>
      <c r="O100" s="228"/>
      <c r="P100" s="229"/>
      <c r="Q100" s="229"/>
      <c r="R100" s="229"/>
      <c r="S100" s="229"/>
      <c r="T100" s="229"/>
      <c r="U100" s="229"/>
      <c r="V100" s="229"/>
    </row>
    <row r="101" spans="2:22" x14ac:dyDescent="0.65">
      <c r="B101" s="1596"/>
      <c r="C101" s="1597"/>
      <c r="D101" s="1633">
        <v>2001</v>
      </c>
      <c r="E101" s="1634"/>
      <c r="F101" s="1635"/>
      <c r="G101" s="1623">
        <v>1.0500000000000001E-2</v>
      </c>
      <c r="H101" s="1624"/>
      <c r="I101" s="1623">
        <v>2.12E-2</v>
      </c>
      <c r="J101" s="1624"/>
      <c r="K101" s="231"/>
      <c r="L101" s="228"/>
      <c r="M101" s="228"/>
      <c r="N101" s="228"/>
      <c r="O101" s="228"/>
      <c r="P101" s="229"/>
      <c r="Q101" s="229"/>
      <c r="R101" s="229"/>
      <c r="S101" s="229"/>
      <c r="T101" s="229"/>
      <c r="U101" s="229"/>
      <c r="V101" s="229"/>
    </row>
    <row r="102" spans="2:22" x14ac:dyDescent="0.65">
      <c r="B102" s="1596"/>
      <c r="C102" s="1597"/>
      <c r="D102" s="1633">
        <v>2002</v>
      </c>
      <c r="E102" s="1634"/>
      <c r="F102" s="1635"/>
      <c r="G102" s="1623">
        <v>1.0200000000000001E-2</v>
      </c>
      <c r="H102" s="1624"/>
      <c r="I102" s="1623">
        <v>2.07E-2</v>
      </c>
      <c r="J102" s="1624"/>
      <c r="K102" s="231"/>
      <c r="L102" s="228"/>
      <c r="M102" s="228"/>
      <c r="N102" s="228"/>
      <c r="O102" s="228"/>
      <c r="P102" s="229"/>
      <c r="Q102" s="229"/>
      <c r="R102" s="229"/>
      <c r="S102" s="229"/>
      <c r="T102" s="229"/>
      <c r="U102" s="229"/>
      <c r="V102" s="229"/>
    </row>
    <row r="103" spans="2:22" x14ac:dyDescent="0.65">
      <c r="B103" s="1596"/>
      <c r="C103" s="1597"/>
      <c r="D103" s="1633">
        <v>2003</v>
      </c>
      <c r="E103" s="1634"/>
      <c r="F103" s="1635"/>
      <c r="G103" s="1623">
        <v>9.4999999999999998E-3</v>
      </c>
      <c r="H103" s="1624"/>
      <c r="I103" s="1623">
        <v>1.8100000000000002E-2</v>
      </c>
      <c r="J103" s="1624"/>
      <c r="K103" s="231"/>
      <c r="L103" s="228"/>
      <c r="P103" s="229"/>
      <c r="Q103" s="229"/>
      <c r="R103" s="229"/>
      <c r="S103" s="229"/>
      <c r="T103" s="229"/>
      <c r="U103" s="229"/>
      <c r="V103" s="229"/>
    </row>
    <row r="104" spans="2:22" x14ac:dyDescent="0.65">
      <c r="B104" s="1596"/>
      <c r="C104" s="1597"/>
      <c r="D104" s="1633">
        <v>2004</v>
      </c>
      <c r="E104" s="1634"/>
      <c r="F104" s="1635"/>
      <c r="G104" s="1623">
        <v>7.7999999999999996E-3</v>
      </c>
      <c r="H104" s="1624"/>
      <c r="I104" s="1623">
        <v>8.5000000000000006E-3</v>
      </c>
      <c r="J104" s="1624"/>
      <c r="K104" s="231"/>
      <c r="L104" s="228"/>
      <c r="P104" s="229"/>
      <c r="Q104" s="229"/>
      <c r="R104" s="229"/>
      <c r="S104" s="229"/>
      <c r="T104" s="229"/>
      <c r="U104" s="229"/>
      <c r="V104" s="229"/>
    </row>
    <row r="105" spans="2:22" x14ac:dyDescent="0.65">
      <c r="B105" s="1596"/>
      <c r="C105" s="1597"/>
      <c r="D105" s="1633">
        <v>2005</v>
      </c>
      <c r="E105" s="1634"/>
      <c r="F105" s="1635"/>
      <c r="G105" s="1623">
        <v>7.4999999999999997E-3</v>
      </c>
      <c r="H105" s="1624"/>
      <c r="I105" s="1623">
        <v>6.7000000000000002E-3</v>
      </c>
      <c r="J105" s="1624"/>
      <c r="K105" s="231"/>
      <c r="L105" s="228"/>
      <c r="M105" s="228"/>
      <c r="N105" s="228"/>
      <c r="O105" s="228"/>
      <c r="P105" s="229"/>
      <c r="Q105" s="229"/>
      <c r="R105" s="229"/>
      <c r="S105" s="229"/>
      <c r="T105" s="229"/>
      <c r="U105" s="229"/>
      <c r="V105" s="229"/>
    </row>
    <row r="106" spans="2:22" x14ac:dyDescent="0.65">
      <c r="B106" s="1596"/>
      <c r="C106" s="1597"/>
      <c r="D106" s="1633">
        <v>2006</v>
      </c>
      <c r="E106" s="1634"/>
      <c r="F106" s="1635"/>
      <c r="G106" s="1623">
        <v>7.6E-3</v>
      </c>
      <c r="H106" s="1624"/>
      <c r="I106" s="1623">
        <v>7.4999999999999997E-3</v>
      </c>
      <c r="J106" s="1624"/>
      <c r="K106" s="231"/>
      <c r="L106" s="228"/>
      <c r="M106" s="228"/>
      <c r="N106" s="229"/>
      <c r="O106" s="229"/>
      <c r="P106" s="229"/>
      <c r="Q106" s="229"/>
      <c r="R106" s="229"/>
      <c r="S106" s="229"/>
      <c r="T106" s="229"/>
      <c r="U106" s="229"/>
      <c r="V106" s="229"/>
    </row>
    <row r="107" spans="2:22" x14ac:dyDescent="0.65">
      <c r="B107" s="1596"/>
      <c r="C107" s="1597"/>
      <c r="D107" s="1633">
        <v>2007</v>
      </c>
      <c r="E107" s="1634"/>
      <c r="F107" s="1635"/>
      <c r="G107" s="1623">
        <v>7.1999999999999998E-3</v>
      </c>
      <c r="H107" s="1624"/>
      <c r="I107" s="1623">
        <v>5.1999999999999998E-3</v>
      </c>
      <c r="J107" s="1624"/>
      <c r="K107" s="231"/>
      <c r="L107" s="228"/>
      <c r="M107" s="228"/>
      <c r="N107" s="229"/>
      <c r="O107" s="229"/>
      <c r="P107" s="229"/>
      <c r="Q107" s="229"/>
      <c r="R107" s="229"/>
      <c r="S107" s="229"/>
      <c r="T107" s="229"/>
      <c r="U107" s="229"/>
      <c r="V107" s="229"/>
    </row>
    <row r="108" spans="2:22" x14ac:dyDescent="0.65">
      <c r="B108" s="1596"/>
      <c r="C108" s="1597"/>
      <c r="D108" s="1633">
        <v>2008</v>
      </c>
      <c r="E108" s="1634"/>
      <c r="F108" s="1635"/>
      <c r="G108" s="1623">
        <v>7.1999999999999998E-3</v>
      </c>
      <c r="H108" s="1624"/>
      <c r="I108" s="1623">
        <v>4.8999999999999998E-3</v>
      </c>
      <c r="J108" s="1624"/>
      <c r="K108" s="231"/>
      <c r="L108" s="228"/>
      <c r="M108" s="228"/>
      <c r="N108" s="229"/>
      <c r="O108" s="229"/>
      <c r="P108" s="229"/>
      <c r="Q108" s="229"/>
      <c r="R108" s="229"/>
      <c r="S108" s="229"/>
      <c r="T108" s="229"/>
      <c r="U108" s="229"/>
      <c r="V108" s="229"/>
    </row>
    <row r="109" spans="2:22" x14ac:dyDescent="0.65">
      <c r="B109" s="1596"/>
      <c r="C109" s="1597"/>
      <c r="D109" s="1633">
        <v>2009</v>
      </c>
      <c r="E109" s="1634"/>
      <c r="F109" s="1635"/>
      <c r="G109" s="1623">
        <v>7.1000000000000004E-3</v>
      </c>
      <c r="H109" s="1624"/>
      <c r="I109" s="1623">
        <v>4.5999999999999999E-3</v>
      </c>
      <c r="J109" s="1624"/>
      <c r="K109" s="231"/>
      <c r="L109" s="228"/>
      <c r="M109" s="228"/>
      <c r="N109" s="229"/>
      <c r="O109" s="229"/>
      <c r="P109" s="229"/>
      <c r="Q109" s="229"/>
      <c r="R109" s="229"/>
      <c r="S109" s="229"/>
      <c r="T109" s="229"/>
      <c r="U109" s="229"/>
      <c r="V109" s="229"/>
    </row>
    <row r="110" spans="2:22" x14ac:dyDescent="0.65">
      <c r="B110" s="1596"/>
      <c r="C110" s="1597"/>
      <c r="D110" s="1633">
        <v>2010</v>
      </c>
      <c r="E110" s="1634"/>
      <c r="F110" s="1635"/>
      <c r="G110" s="1623">
        <v>7.1000000000000004E-3</v>
      </c>
      <c r="H110" s="1624"/>
      <c r="I110" s="1623">
        <v>4.5999999999999999E-3</v>
      </c>
      <c r="J110" s="1624"/>
      <c r="K110" s="231"/>
      <c r="L110" s="228"/>
      <c r="M110" s="228"/>
      <c r="N110" s="229"/>
      <c r="O110" s="229"/>
      <c r="P110" s="229"/>
      <c r="Q110" s="229"/>
      <c r="R110" s="229"/>
      <c r="S110" s="229"/>
      <c r="T110" s="229"/>
      <c r="U110" s="229"/>
      <c r="V110" s="229"/>
    </row>
    <row r="111" spans="2:22" x14ac:dyDescent="0.65">
      <c r="B111" s="1596"/>
      <c r="C111" s="1597"/>
      <c r="D111" s="1633">
        <v>2011</v>
      </c>
      <c r="E111" s="1634"/>
      <c r="F111" s="1635"/>
      <c r="G111" s="1623">
        <v>7.1000000000000004E-3</v>
      </c>
      <c r="H111" s="1624"/>
      <c r="I111" s="1623">
        <v>4.5999999999999999E-3</v>
      </c>
      <c r="J111" s="1624"/>
      <c r="K111" s="231"/>
      <c r="L111" s="228"/>
      <c r="M111" s="228"/>
      <c r="N111" s="229"/>
      <c r="O111" s="229"/>
      <c r="P111" s="229"/>
      <c r="Q111" s="229"/>
      <c r="R111" s="229"/>
      <c r="S111" s="229"/>
      <c r="T111" s="229"/>
      <c r="U111" s="229"/>
      <c r="V111" s="229"/>
    </row>
    <row r="112" spans="2:22" x14ac:dyDescent="0.65">
      <c r="B112" s="1596"/>
      <c r="C112" s="1597"/>
      <c r="D112" s="1633">
        <v>2012</v>
      </c>
      <c r="E112" s="1634"/>
      <c r="F112" s="1635"/>
      <c r="G112" s="1623">
        <v>7.1000000000000004E-3</v>
      </c>
      <c r="H112" s="1624"/>
      <c r="I112" s="1623">
        <v>4.5999999999999999E-3</v>
      </c>
      <c r="J112" s="1624"/>
      <c r="K112" s="231"/>
      <c r="L112" s="228"/>
      <c r="M112" s="228"/>
      <c r="N112" s="229"/>
      <c r="O112" s="229"/>
      <c r="P112" s="229"/>
      <c r="Q112" s="229"/>
      <c r="R112" s="229"/>
      <c r="S112" s="229"/>
      <c r="T112" s="229"/>
      <c r="U112" s="229"/>
      <c r="V112" s="229"/>
    </row>
    <row r="113" spans="2:22" x14ac:dyDescent="0.65">
      <c r="B113" s="1596"/>
      <c r="C113" s="1597"/>
      <c r="D113" s="1633">
        <v>2013</v>
      </c>
      <c r="E113" s="1634"/>
      <c r="F113" s="1635"/>
      <c r="G113" s="1623">
        <v>7.1000000000000004E-3</v>
      </c>
      <c r="H113" s="1624"/>
      <c r="I113" s="1623">
        <v>4.5999999999999999E-3</v>
      </c>
      <c r="J113" s="1624"/>
      <c r="K113" s="231"/>
      <c r="L113" s="228"/>
      <c r="M113" s="228"/>
      <c r="N113" s="229"/>
      <c r="O113" s="229"/>
      <c r="P113" s="229"/>
      <c r="Q113" s="229"/>
      <c r="R113" s="229"/>
      <c r="S113" s="229"/>
      <c r="T113" s="229"/>
      <c r="U113" s="229"/>
      <c r="V113" s="229"/>
    </row>
    <row r="114" spans="2:22" x14ac:dyDescent="0.65">
      <c r="B114" s="1596"/>
      <c r="C114" s="1597"/>
      <c r="D114" s="1633">
        <v>2014</v>
      </c>
      <c r="E114" s="1634"/>
      <c r="F114" s="1635"/>
      <c r="G114" s="1623">
        <v>7.1000000000000004E-3</v>
      </c>
      <c r="H114" s="1624"/>
      <c r="I114" s="1623">
        <v>4.5999999999999999E-3</v>
      </c>
      <c r="J114" s="1624"/>
      <c r="K114" s="231"/>
      <c r="L114" s="228"/>
      <c r="M114" s="228"/>
      <c r="N114" s="229"/>
      <c r="O114" s="229"/>
      <c r="P114" s="229"/>
      <c r="Q114" s="229"/>
      <c r="R114" s="229"/>
      <c r="S114" s="229"/>
      <c r="T114" s="229"/>
      <c r="U114" s="229"/>
      <c r="V114" s="229"/>
    </row>
    <row r="115" spans="2:22" x14ac:dyDescent="0.65">
      <c r="B115" s="1596"/>
      <c r="C115" s="1597"/>
      <c r="D115" s="1633">
        <v>2015</v>
      </c>
      <c r="E115" s="1634"/>
      <c r="F115" s="1635"/>
      <c r="G115" s="1623">
        <v>6.7999999999999996E-3</v>
      </c>
      <c r="H115" s="1624"/>
      <c r="I115" s="1623">
        <v>4.1999999999999997E-3</v>
      </c>
      <c r="J115" s="1624"/>
      <c r="K115" s="231"/>
      <c r="L115" s="228"/>
      <c r="M115" s="228"/>
      <c r="N115" s="229"/>
      <c r="O115" s="229"/>
      <c r="P115" s="229"/>
      <c r="Q115" s="229"/>
      <c r="R115" s="229"/>
      <c r="S115" s="229"/>
      <c r="T115" s="229"/>
      <c r="U115" s="229"/>
      <c r="V115" s="229"/>
    </row>
    <row r="116" spans="2:22" x14ac:dyDescent="0.65">
      <c r="B116" s="1596"/>
      <c r="C116" s="1597"/>
      <c r="D116" s="1633">
        <v>2016</v>
      </c>
      <c r="E116" s="1634"/>
      <c r="F116" s="1635"/>
      <c r="G116" s="1623">
        <v>6.4999999999999997E-3</v>
      </c>
      <c r="H116" s="1624"/>
      <c r="I116" s="1623">
        <v>3.8E-3</v>
      </c>
      <c r="J116" s="1624"/>
      <c r="K116" s="231"/>
      <c r="L116" s="228"/>
      <c r="M116" s="228"/>
      <c r="N116" s="229"/>
      <c r="O116" s="229"/>
      <c r="P116" s="229"/>
      <c r="Q116" s="229"/>
      <c r="R116" s="229"/>
      <c r="S116" s="229"/>
      <c r="T116" s="229"/>
      <c r="U116" s="229"/>
      <c r="V116" s="229"/>
    </row>
    <row r="117" spans="2:22" x14ac:dyDescent="0.65">
      <c r="B117" s="1596"/>
      <c r="C117" s="1597"/>
      <c r="D117" s="1633">
        <v>2017</v>
      </c>
      <c r="E117" s="1634"/>
      <c r="F117" s="1635"/>
      <c r="G117" s="1623">
        <v>5.4000000000000003E-3</v>
      </c>
      <c r="H117" s="1624"/>
      <c r="I117" s="1623">
        <v>1.8E-3</v>
      </c>
      <c r="J117" s="1624"/>
      <c r="K117" s="231"/>
      <c r="L117" s="228"/>
      <c r="M117" s="228"/>
      <c r="N117" s="229"/>
      <c r="O117" s="229"/>
      <c r="P117" s="229"/>
      <c r="Q117" s="229"/>
      <c r="R117" s="229"/>
      <c r="S117" s="229"/>
      <c r="T117" s="229"/>
      <c r="U117" s="229"/>
      <c r="V117" s="229"/>
    </row>
    <row r="118" spans="2:22" x14ac:dyDescent="0.65">
      <c r="B118" s="1596"/>
      <c r="C118" s="1597"/>
      <c r="D118" s="1633">
        <v>2018</v>
      </c>
      <c r="E118" s="1634"/>
      <c r="F118" s="1635"/>
      <c r="G118" s="1623">
        <v>5.1999999999999998E-3</v>
      </c>
      <c r="H118" s="1624"/>
      <c r="I118" s="1623">
        <v>1.6000000000000001E-3</v>
      </c>
      <c r="J118" s="1624"/>
      <c r="K118" s="231"/>
      <c r="L118" s="228"/>
      <c r="M118" s="228"/>
      <c r="N118" s="229"/>
      <c r="O118" s="229"/>
      <c r="P118" s="229"/>
      <c r="Q118" s="229"/>
      <c r="R118" s="229"/>
      <c r="S118" s="229"/>
      <c r="T118" s="229"/>
      <c r="U118" s="229"/>
      <c r="V118" s="229"/>
    </row>
    <row r="119" spans="2:22" x14ac:dyDescent="0.65">
      <c r="B119" s="1596"/>
      <c r="C119" s="1597"/>
      <c r="D119" s="1633">
        <v>2019</v>
      </c>
      <c r="E119" s="1634"/>
      <c r="F119" s="1635"/>
      <c r="G119" s="1623">
        <v>5.1000000000000004E-3</v>
      </c>
      <c r="H119" s="1624"/>
      <c r="I119" s="1623">
        <v>1.5E-3</v>
      </c>
      <c r="J119" s="1624"/>
      <c r="K119" s="231"/>
      <c r="L119" s="228"/>
      <c r="M119" s="228"/>
      <c r="N119" s="229"/>
      <c r="O119" s="229"/>
      <c r="P119" s="229"/>
      <c r="Q119" s="229"/>
      <c r="R119" s="229"/>
      <c r="S119" s="229"/>
      <c r="T119" s="229"/>
      <c r="U119" s="229"/>
      <c r="V119" s="229"/>
    </row>
    <row r="120" spans="2:22" x14ac:dyDescent="0.65">
      <c r="B120" s="1598"/>
      <c r="C120" s="1599"/>
      <c r="D120" s="1633">
        <v>2020</v>
      </c>
      <c r="E120" s="1634"/>
      <c r="F120" s="1635"/>
      <c r="G120" s="1623">
        <v>5.0000000000000001E-3</v>
      </c>
      <c r="H120" s="1624"/>
      <c r="I120" s="1623">
        <v>1.4E-3</v>
      </c>
      <c r="J120" s="1624"/>
      <c r="K120" s="231"/>
      <c r="L120" s="228"/>
      <c r="M120" s="228"/>
      <c r="N120" s="229"/>
      <c r="O120" s="229"/>
      <c r="P120" s="229"/>
      <c r="Q120" s="229"/>
      <c r="R120" s="229"/>
      <c r="S120" s="229"/>
      <c r="T120" s="229"/>
      <c r="U120" s="229"/>
      <c r="V120" s="229"/>
    </row>
    <row r="121" spans="2:22" x14ac:dyDescent="0.65">
      <c r="B121" s="1642" t="s">
        <v>289</v>
      </c>
      <c r="C121" s="1643"/>
      <c r="D121" s="1589" t="s">
        <v>282</v>
      </c>
      <c r="E121" s="1590"/>
      <c r="F121" s="1591"/>
      <c r="G121" s="1623">
        <v>0.1908</v>
      </c>
      <c r="H121" s="1624"/>
      <c r="I121" s="1623">
        <v>2.18E-2</v>
      </c>
      <c r="J121" s="1624"/>
      <c r="K121" s="231"/>
      <c r="L121" s="228"/>
      <c r="M121" s="228"/>
      <c r="N121" s="229"/>
      <c r="O121" s="229"/>
      <c r="P121" s="229"/>
      <c r="Q121" s="229"/>
      <c r="R121" s="229"/>
      <c r="S121" s="229"/>
      <c r="T121" s="229"/>
      <c r="U121" s="229"/>
      <c r="V121" s="229"/>
    </row>
    <row r="122" spans="2:22" x14ac:dyDescent="0.65">
      <c r="B122" s="1640" t="s">
        <v>290</v>
      </c>
      <c r="C122" s="1641"/>
      <c r="D122" s="1633">
        <v>1975</v>
      </c>
      <c r="E122" s="1634"/>
      <c r="F122" s="1635"/>
      <c r="G122" s="1623">
        <v>0.16339999999999999</v>
      </c>
      <c r="H122" s="1624"/>
      <c r="I122" s="1623">
        <v>5.1299999999999998E-2</v>
      </c>
      <c r="J122" s="1624"/>
      <c r="K122" s="231"/>
      <c r="L122" s="228"/>
      <c r="M122" s="228"/>
      <c r="N122" s="229"/>
      <c r="O122" s="229"/>
      <c r="P122" s="229"/>
      <c r="Q122" s="229"/>
      <c r="R122" s="229"/>
      <c r="S122" s="229"/>
      <c r="T122" s="229"/>
      <c r="U122" s="229"/>
      <c r="V122" s="229"/>
    </row>
    <row r="123" spans="2:22" x14ac:dyDescent="0.65">
      <c r="B123" s="1636"/>
      <c r="C123" s="1637"/>
      <c r="D123" s="1633">
        <v>1976</v>
      </c>
      <c r="E123" s="1634"/>
      <c r="F123" s="1635"/>
      <c r="G123" s="1623">
        <v>0.15939999999999999</v>
      </c>
      <c r="H123" s="1624"/>
      <c r="I123" s="1623">
        <v>5.5500000000000001E-2</v>
      </c>
      <c r="J123" s="1624"/>
      <c r="K123" s="231"/>
      <c r="L123" s="228"/>
      <c r="M123" s="228"/>
      <c r="N123" s="229"/>
      <c r="O123" s="229"/>
      <c r="P123" s="229"/>
      <c r="Q123" s="229"/>
      <c r="R123" s="229"/>
      <c r="S123" s="229"/>
      <c r="T123" s="229"/>
      <c r="U123" s="229"/>
      <c r="V123" s="229"/>
    </row>
    <row r="124" spans="2:22" x14ac:dyDescent="0.65">
      <c r="B124" s="1636"/>
      <c r="C124" s="1637"/>
      <c r="D124" s="1589" t="s">
        <v>291</v>
      </c>
      <c r="E124" s="1590"/>
      <c r="F124" s="1591"/>
      <c r="G124" s="1623">
        <v>0.16139999999999999</v>
      </c>
      <c r="H124" s="1624"/>
      <c r="I124" s="1623">
        <v>5.3400000000000003E-2</v>
      </c>
      <c r="J124" s="1624"/>
      <c r="K124" s="231"/>
      <c r="L124" s="228"/>
      <c r="M124" s="228"/>
      <c r="N124" s="229"/>
      <c r="O124" s="229"/>
      <c r="P124" s="229"/>
      <c r="Q124" s="229"/>
      <c r="R124" s="229"/>
      <c r="S124" s="229"/>
      <c r="T124" s="229"/>
      <c r="U124" s="229"/>
      <c r="V124" s="229"/>
    </row>
    <row r="125" spans="2:22" x14ac:dyDescent="0.65">
      <c r="B125" s="1636"/>
      <c r="C125" s="1637"/>
      <c r="D125" s="1589" t="s">
        <v>292</v>
      </c>
      <c r="E125" s="1590"/>
      <c r="F125" s="1591"/>
      <c r="G125" s="1623">
        <v>0.15939999999999999</v>
      </c>
      <c r="H125" s="1624"/>
      <c r="I125" s="1623">
        <v>5.5500000000000001E-2</v>
      </c>
      <c r="J125" s="1624"/>
      <c r="K125" s="231"/>
      <c r="L125" s="228"/>
      <c r="M125" s="228"/>
      <c r="N125" s="229"/>
      <c r="O125" s="229"/>
      <c r="P125" s="229"/>
      <c r="Q125" s="229"/>
      <c r="R125" s="229"/>
      <c r="S125" s="229"/>
      <c r="T125" s="229"/>
      <c r="U125" s="229"/>
      <c r="V125" s="229"/>
    </row>
    <row r="126" spans="2:22" x14ac:dyDescent="0.65">
      <c r="B126" s="1636"/>
      <c r="C126" s="1637"/>
      <c r="D126" s="1633">
        <v>1981</v>
      </c>
      <c r="E126" s="1634"/>
      <c r="F126" s="1635"/>
      <c r="G126" s="1623">
        <v>0.1479</v>
      </c>
      <c r="H126" s="1624"/>
      <c r="I126" s="1623">
        <v>6.6000000000000003E-2</v>
      </c>
      <c r="J126" s="1624"/>
      <c r="K126" s="231"/>
      <c r="L126" s="228"/>
      <c r="M126" s="228"/>
      <c r="N126" s="229"/>
      <c r="O126" s="229"/>
      <c r="P126" s="229"/>
      <c r="Q126" s="229"/>
      <c r="R126" s="229"/>
      <c r="S126" s="229"/>
      <c r="T126" s="229"/>
      <c r="U126" s="229"/>
      <c r="V126" s="229"/>
    </row>
    <row r="127" spans="2:22" x14ac:dyDescent="0.65">
      <c r="B127" s="1636"/>
      <c r="C127" s="1637"/>
      <c r="D127" s="1633">
        <v>1982</v>
      </c>
      <c r="E127" s="1634"/>
      <c r="F127" s="1635"/>
      <c r="G127" s="1623">
        <v>0.14419999999999999</v>
      </c>
      <c r="H127" s="1624"/>
      <c r="I127" s="1623">
        <v>6.8099999999999994E-2</v>
      </c>
      <c r="J127" s="1624"/>
      <c r="K127" s="231"/>
      <c r="L127" s="228"/>
      <c r="M127" s="228"/>
      <c r="N127" s="229"/>
      <c r="O127" s="229"/>
      <c r="P127" s="229"/>
      <c r="Q127" s="229"/>
      <c r="R127" s="229"/>
      <c r="S127" s="229"/>
      <c r="T127" s="229"/>
      <c r="U127" s="229"/>
      <c r="V127" s="229"/>
    </row>
    <row r="128" spans="2:22" x14ac:dyDescent="0.65">
      <c r="B128" s="1636"/>
      <c r="C128" s="1637"/>
      <c r="D128" s="1633">
        <v>1983</v>
      </c>
      <c r="E128" s="1634"/>
      <c r="F128" s="1635"/>
      <c r="G128" s="1623">
        <v>0.1368</v>
      </c>
      <c r="H128" s="1624"/>
      <c r="I128" s="1623">
        <v>7.22E-2</v>
      </c>
      <c r="J128" s="1624"/>
      <c r="K128" s="231"/>
      <c r="L128" s="228"/>
      <c r="M128" s="228"/>
      <c r="N128" s="229"/>
      <c r="O128" s="229"/>
      <c r="P128" s="229"/>
      <c r="Q128" s="229"/>
      <c r="R128" s="229"/>
      <c r="S128" s="229"/>
      <c r="T128" s="229"/>
      <c r="U128" s="229"/>
      <c r="V128" s="229"/>
    </row>
    <row r="129" spans="2:22" x14ac:dyDescent="0.65">
      <c r="B129" s="1636"/>
      <c r="C129" s="1637"/>
      <c r="D129" s="1633">
        <v>1984</v>
      </c>
      <c r="E129" s="1634"/>
      <c r="F129" s="1635"/>
      <c r="G129" s="1623">
        <v>0.12939999999999999</v>
      </c>
      <c r="H129" s="1624"/>
      <c r="I129" s="1623">
        <v>7.6399999999999996E-2</v>
      </c>
      <c r="J129" s="1624"/>
      <c r="K129" s="231"/>
      <c r="L129" s="228"/>
      <c r="M129" s="228"/>
      <c r="N129" s="229"/>
      <c r="O129" s="229"/>
      <c r="P129" s="229"/>
      <c r="Q129" s="229"/>
      <c r="R129" s="229"/>
      <c r="S129" s="229"/>
      <c r="T129" s="229"/>
      <c r="U129" s="229"/>
      <c r="V129" s="229"/>
    </row>
    <row r="130" spans="2:22" x14ac:dyDescent="0.65">
      <c r="B130" s="1636"/>
      <c r="C130" s="1637"/>
      <c r="D130" s="1633">
        <v>1985</v>
      </c>
      <c r="E130" s="1634"/>
      <c r="F130" s="1635"/>
      <c r="G130" s="1623">
        <v>0.122</v>
      </c>
      <c r="H130" s="1624"/>
      <c r="I130" s="1623">
        <v>8.0600000000000005E-2</v>
      </c>
      <c r="J130" s="1624"/>
      <c r="K130" s="231"/>
      <c r="L130" s="228"/>
      <c r="M130" s="228"/>
      <c r="N130" s="229"/>
      <c r="O130" s="229"/>
      <c r="P130" s="229"/>
      <c r="Q130" s="229"/>
      <c r="R130" s="229"/>
      <c r="S130" s="229"/>
      <c r="T130" s="229"/>
      <c r="U130" s="229"/>
      <c r="V130" s="229"/>
    </row>
    <row r="131" spans="2:22" x14ac:dyDescent="0.65">
      <c r="B131" s="1636"/>
      <c r="C131" s="1637"/>
      <c r="D131" s="1633">
        <v>1986</v>
      </c>
      <c r="E131" s="1634"/>
      <c r="F131" s="1635"/>
      <c r="G131" s="1623">
        <v>0.11459999999999999</v>
      </c>
      <c r="H131" s="1624"/>
      <c r="I131" s="1623">
        <v>8.48E-2</v>
      </c>
      <c r="J131" s="1624"/>
      <c r="K131" s="231"/>
      <c r="L131" s="228"/>
      <c r="M131" s="228"/>
      <c r="N131" s="229"/>
      <c r="O131" s="229"/>
      <c r="P131" s="229"/>
      <c r="Q131" s="229"/>
      <c r="R131" s="229"/>
      <c r="S131" s="229"/>
      <c r="T131" s="229"/>
      <c r="U131" s="229"/>
      <c r="V131" s="229"/>
    </row>
    <row r="132" spans="2:22" x14ac:dyDescent="0.65">
      <c r="B132" s="1636"/>
      <c r="C132" s="1637"/>
      <c r="D132" s="1589" t="s">
        <v>293</v>
      </c>
      <c r="E132" s="1590"/>
      <c r="F132" s="1591"/>
      <c r="G132" s="1623">
        <v>8.1299999999999997E-2</v>
      </c>
      <c r="H132" s="1624"/>
      <c r="I132" s="1623">
        <v>0.10349999999999999</v>
      </c>
      <c r="J132" s="1624"/>
      <c r="K132" s="231"/>
      <c r="L132" s="228"/>
      <c r="M132" s="228"/>
      <c r="N132" s="229"/>
      <c r="O132" s="229"/>
      <c r="P132" s="229"/>
      <c r="Q132" s="229"/>
      <c r="R132" s="229"/>
      <c r="S132" s="229"/>
      <c r="T132" s="229"/>
      <c r="U132" s="229"/>
      <c r="V132" s="229"/>
    </row>
    <row r="133" spans="2:22" x14ac:dyDescent="0.65">
      <c r="B133" s="1636"/>
      <c r="C133" s="1637"/>
      <c r="D133" s="1633">
        <v>1994</v>
      </c>
      <c r="E133" s="1634"/>
      <c r="F133" s="1635"/>
      <c r="G133" s="1623">
        <v>6.4600000000000005E-2</v>
      </c>
      <c r="H133" s="1624"/>
      <c r="I133" s="1623">
        <v>9.8199999999999996E-2</v>
      </c>
      <c r="J133" s="1624"/>
      <c r="K133" s="231"/>
      <c r="L133" s="228"/>
      <c r="M133" s="228"/>
      <c r="N133" s="229"/>
      <c r="O133" s="229"/>
      <c r="P133" s="229"/>
      <c r="Q133" s="229"/>
      <c r="R133" s="229"/>
      <c r="S133" s="229"/>
      <c r="T133" s="229"/>
      <c r="U133" s="229"/>
      <c r="V133" s="229"/>
    </row>
    <row r="134" spans="2:22" x14ac:dyDescent="0.65">
      <c r="B134" s="1636"/>
      <c r="C134" s="1637"/>
      <c r="D134" s="1633">
        <v>1995</v>
      </c>
      <c r="E134" s="1634"/>
      <c r="F134" s="1635"/>
      <c r="G134" s="1623">
        <v>5.1700000000000003E-2</v>
      </c>
      <c r="H134" s="1624"/>
      <c r="I134" s="1623">
        <v>9.0800000000000006E-2</v>
      </c>
      <c r="J134" s="1624"/>
      <c r="K134" s="231"/>
      <c r="L134" s="228"/>
      <c r="M134" s="228"/>
      <c r="N134" s="229"/>
      <c r="O134" s="229"/>
      <c r="P134" s="229"/>
      <c r="Q134" s="229"/>
      <c r="R134" s="229"/>
      <c r="S134" s="229"/>
      <c r="T134" s="229"/>
      <c r="U134" s="229"/>
      <c r="V134" s="229"/>
    </row>
    <row r="135" spans="2:22" x14ac:dyDescent="0.65">
      <c r="B135" s="1636"/>
      <c r="C135" s="1637"/>
      <c r="D135" s="1633">
        <v>1996</v>
      </c>
      <c r="E135" s="1634"/>
      <c r="F135" s="1635"/>
      <c r="G135" s="1623">
        <v>4.5199999999999997E-2</v>
      </c>
      <c r="H135" s="1624"/>
      <c r="I135" s="1623">
        <v>8.7099999999999997E-2</v>
      </c>
      <c r="J135" s="1624"/>
      <c r="K135" s="231"/>
      <c r="L135" s="228"/>
      <c r="M135" s="228"/>
      <c r="N135" s="229"/>
      <c r="O135" s="229"/>
      <c r="P135" s="229"/>
      <c r="Q135" s="229"/>
      <c r="R135" s="229"/>
      <c r="S135" s="229"/>
      <c r="T135" s="229"/>
      <c r="U135" s="229"/>
      <c r="V135" s="229"/>
    </row>
    <row r="136" spans="2:22" x14ac:dyDescent="0.65">
      <c r="B136" s="1636"/>
      <c r="C136" s="1637"/>
      <c r="D136" s="1633">
        <v>1997</v>
      </c>
      <c r="E136" s="1634"/>
      <c r="F136" s="1635"/>
      <c r="G136" s="1623">
        <v>4.5199999999999997E-2</v>
      </c>
      <c r="H136" s="1624"/>
      <c r="I136" s="1623">
        <v>8.7099999999999997E-2</v>
      </c>
      <c r="J136" s="1624"/>
      <c r="K136" s="231"/>
      <c r="L136" s="228"/>
      <c r="M136" s="228"/>
      <c r="N136" s="229"/>
      <c r="O136" s="229"/>
      <c r="P136" s="229"/>
      <c r="Q136" s="229"/>
      <c r="R136" s="229"/>
      <c r="S136" s="229"/>
      <c r="T136" s="229"/>
      <c r="U136" s="229"/>
      <c r="V136" s="229"/>
    </row>
    <row r="137" spans="2:22" x14ac:dyDescent="0.65">
      <c r="B137" s="1636"/>
      <c r="C137" s="1637"/>
      <c r="D137" s="1633">
        <v>1998</v>
      </c>
      <c r="E137" s="1634"/>
      <c r="F137" s="1635"/>
      <c r="G137" s="1623">
        <v>4.1200000000000001E-2</v>
      </c>
      <c r="H137" s="1624"/>
      <c r="I137" s="1623">
        <v>7.8700000000000006E-2</v>
      </c>
      <c r="J137" s="1624"/>
      <c r="K137" s="231"/>
      <c r="L137" s="228"/>
      <c r="M137" s="228"/>
      <c r="N137" s="229"/>
      <c r="O137" s="229"/>
      <c r="P137" s="229"/>
      <c r="Q137" s="229"/>
      <c r="R137" s="229"/>
      <c r="S137" s="229"/>
      <c r="T137" s="229"/>
      <c r="U137" s="229"/>
      <c r="V137" s="229"/>
    </row>
    <row r="138" spans="2:22" x14ac:dyDescent="0.65">
      <c r="B138" s="1636"/>
      <c r="C138" s="1637"/>
      <c r="D138" s="1633">
        <v>1999</v>
      </c>
      <c r="E138" s="1634"/>
      <c r="F138" s="1635"/>
      <c r="G138" s="1623">
        <v>3.3300000000000003E-2</v>
      </c>
      <c r="H138" s="1624"/>
      <c r="I138" s="1623">
        <v>6.1800000000000001E-2</v>
      </c>
      <c r="J138" s="1624"/>
      <c r="K138" s="231"/>
      <c r="L138" s="228"/>
      <c r="M138" s="228"/>
      <c r="N138" s="229"/>
      <c r="O138" s="229"/>
      <c r="P138" s="229"/>
      <c r="Q138" s="229"/>
      <c r="R138" s="229"/>
      <c r="S138" s="229"/>
      <c r="T138" s="229"/>
      <c r="U138" s="229"/>
      <c r="V138" s="229"/>
    </row>
    <row r="139" spans="2:22" x14ac:dyDescent="0.65">
      <c r="B139" s="1636"/>
      <c r="C139" s="1637"/>
      <c r="D139" s="1633">
        <v>2000</v>
      </c>
      <c r="E139" s="1634"/>
      <c r="F139" s="1635"/>
      <c r="G139" s="1623">
        <v>3.4000000000000002E-2</v>
      </c>
      <c r="H139" s="1624"/>
      <c r="I139" s="1623">
        <v>6.3100000000000003E-2</v>
      </c>
      <c r="J139" s="1624"/>
      <c r="K139" s="231"/>
      <c r="L139" s="228"/>
      <c r="M139" s="228"/>
      <c r="N139" s="229"/>
      <c r="O139" s="229"/>
      <c r="P139" s="229"/>
      <c r="Q139" s="229"/>
      <c r="R139" s="229"/>
      <c r="S139" s="229"/>
      <c r="T139" s="229"/>
      <c r="U139" s="229"/>
      <c r="V139" s="229"/>
    </row>
    <row r="140" spans="2:22" x14ac:dyDescent="0.65">
      <c r="B140" s="1636"/>
      <c r="C140" s="1637"/>
      <c r="D140" s="1633">
        <v>2001</v>
      </c>
      <c r="E140" s="1634"/>
      <c r="F140" s="1635"/>
      <c r="G140" s="1623">
        <v>2.2100000000000002E-2</v>
      </c>
      <c r="H140" s="1624"/>
      <c r="I140" s="1623">
        <v>3.7900000000000003E-2</v>
      </c>
      <c r="J140" s="1624"/>
      <c r="K140" s="231"/>
      <c r="L140" s="228"/>
      <c r="M140" s="228"/>
      <c r="N140" s="229"/>
      <c r="O140" s="229"/>
      <c r="P140" s="229"/>
      <c r="Q140" s="229"/>
      <c r="R140" s="229"/>
      <c r="S140" s="229"/>
      <c r="T140" s="229"/>
      <c r="U140" s="229"/>
      <c r="V140" s="229"/>
    </row>
    <row r="141" spans="2:22" x14ac:dyDescent="0.65">
      <c r="B141" s="1636"/>
      <c r="C141" s="1637"/>
      <c r="D141" s="1633">
        <v>2002</v>
      </c>
      <c r="E141" s="1634"/>
      <c r="F141" s="1635"/>
      <c r="G141" s="1623">
        <v>2.4199999999999999E-2</v>
      </c>
      <c r="H141" s="1624"/>
      <c r="I141" s="1623">
        <v>4.24E-2</v>
      </c>
      <c r="J141" s="1624"/>
      <c r="K141" s="231"/>
      <c r="L141" s="228"/>
      <c r="M141" s="228"/>
      <c r="N141" s="229"/>
      <c r="O141" s="229"/>
      <c r="P141" s="229"/>
      <c r="Q141" s="229"/>
      <c r="R141" s="229"/>
      <c r="S141" s="229"/>
      <c r="T141" s="229"/>
      <c r="U141" s="229"/>
      <c r="V141" s="229"/>
    </row>
    <row r="142" spans="2:22" x14ac:dyDescent="0.65">
      <c r="B142" s="1636"/>
      <c r="C142" s="1637"/>
      <c r="D142" s="1633">
        <v>2003</v>
      </c>
      <c r="E142" s="1634"/>
      <c r="F142" s="1635"/>
      <c r="G142" s="1623">
        <v>2.2100000000000002E-2</v>
      </c>
      <c r="H142" s="1624"/>
      <c r="I142" s="1623">
        <v>3.73E-2</v>
      </c>
      <c r="J142" s="1624"/>
      <c r="K142" s="231"/>
      <c r="L142" s="228"/>
      <c r="M142" s="228"/>
      <c r="N142" s="229"/>
      <c r="O142" s="229"/>
      <c r="P142" s="229"/>
      <c r="Q142" s="229"/>
      <c r="R142" s="229"/>
      <c r="S142" s="229"/>
      <c r="T142" s="229"/>
      <c r="U142" s="229"/>
      <c r="V142" s="229"/>
    </row>
    <row r="143" spans="2:22" x14ac:dyDescent="0.65">
      <c r="B143" s="1636"/>
      <c r="C143" s="1637"/>
      <c r="D143" s="1633">
        <v>2004</v>
      </c>
      <c r="E143" s="1634"/>
      <c r="F143" s="1635"/>
      <c r="G143" s="1623">
        <v>1.15E-2</v>
      </c>
      <c r="H143" s="1624"/>
      <c r="I143" s="1623">
        <v>8.8000000000000005E-3</v>
      </c>
      <c r="J143" s="1624"/>
      <c r="K143" s="231"/>
      <c r="L143" s="228"/>
      <c r="M143" s="228"/>
      <c r="N143" s="229"/>
      <c r="O143" s="229"/>
      <c r="P143" s="229"/>
      <c r="Q143" s="229"/>
      <c r="R143" s="229"/>
      <c r="S143" s="229"/>
      <c r="T143" s="229"/>
      <c r="U143" s="229"/>
      <c r="V143" s="229"/>
    </row>
    <row r="144" spans="2:22" x14ac:dyDescent="0.65">
      <c r="B144" s="1636"/>
      <c r="C144" s="1637"/>
      <c r="D144" s="1633">
        <v>2005</v>
      </c>
      <c r="E144" s="1634"/>
      <c r="F144" s="1635"/>
      <c r="G144" s="1623">
        <v>1.0500000000000001E-2</v>
      </c>
      <c r="H144" s="1624"/>
      <c r="I144" s="1623">
        <v>6.4000000000000003E-3</v>
      </c>
      <c r="J144" s="1624"/>
      <c r="K144" s="231"/>
      <c r="L144" s="228"/>
      <c r="M144" s="228"/>
      <c r="N144" s="229"/>
      <c r="O144" s="229"/>
      <c r="P144" s="229"/>
      <c r="Q144" s="229"/>
      <c r="R144" s="229"/>
      <c r="S144" s="229"/>
      <c r="T144" s="229"/>
      <c r="U144" s="229"/>
      <c r="V144" s="229"/>
    </row>
    <row r="145" spans="2:22" x14ac:dyDescent="0.65">
      <c r="B145" s="1636"/>
      <c r="C145" s="1637"/>
      <c r="D145" s="1633">
        <v>2006</v>
      </c>
      <c r="E145" s="1634"/>
      <c r="F145" s="1635"/>
      <c r="G145" s="1623">
        <v>1.0800000000000001E-2</v>
      </c>
      <c r="H145" s="1624"/>
      <c r="I145" s="1623">
        <v>8.0000000000000002E-3</v>
      </c>
      <c r="J145" s="1624"/>
      <c r="K145" s="231"/>
      <c r="L145" s="228"/>
      <c r="M145" s="228"/>
      <c r="N145" s="229"/>
      <c r="O145" s="229"/>
      <c r="P145" s="229"/>
      <c r="Q145" s="229"/>
      <c r="R145" s="229"/>
      <c r="S145" s="229"/>
      <c r="T145" s="229"/>
      <c r="U145" s="229"/>
      <c r="V145" s="229"/>
    </row>
    <row r="146" spans="2:22" x14ac:dyDescent="0.65">
      <c r="B146" s="1636"/>
      <c r="C146" s="1637"/>
      <c r="D146" s="1633">
        <v>2007</v>
      </c>
      <c r="E146" s="1634"/>
      <c r="F146" s="1635"/>
      <c r="G146" s="1623">
        <v>1.03E-2</v>
      </c>
      <c r="H146" s="1624"/>
      <c r="I146" s="1623">
        <v>6.1000000000000004E-3</v>
      </c>
      <c r="J146" s="1624"/>
      <c r="K146" s="231"/>
      <c r="L146" s="228"/>
      <c r="M146" s="228"/>
      <c r="N146" s="229"/>
      <c r="O146" s="229"/>
      <c r="P146" s="229"/>
      <c r="Q146" s="229"/>
      <c r="R146" s="229"/>
      <c r="S146" s="229"/>
      <c r="T146" s="229"/>
      <c r="U146" s="229"/>
      <c r="V146" s="229"/>
    </row>
    <row r="147" spans="2:22" x14ac:dyDescent="0.65">
      <c r="B147" s="1636"/>
      <c r="C147" s="1637"/>
      <c r="D147" s="1633">
        <v>2008</v>
      </c>
      <c r="E147" s="1634"/>
      <c r="F147" s="1635"/>
      <c r="G147" s="1623">
        <v>9.4999999999999998E-3</v>
      </c>
      <c r="H147" s="1624"/>
      <c r="I147" s="1623">
        <v>3.5999999999999999E-3</v>
      </c>
      <c r="J147" s="1624"/>
      <c r="K147" s="231"/>
      <c r="L147" s="228"/>
      <c r="M147" s="228"/>
      <c r="N147" s="229"/>
      <c r="O147" s="229"/>
      <c r="P147" s="229"/>
      <c r="Q147" s="229"/>
      <c r="R147" s="229"/>
      <c r="S147" s="229"/>
      <c r="T147" s="229"/>
      <c r="U147" s="229"/>
      <c r="V147" s="229"/>
    </row>
    <row r="148" spans="2:22" x14ac:dyDescent="0.65">
      <c r="B148" s="1636"/>
      <c r="C148" s="1637"/>
      <c r="D148" s="1633">
        <v>2009</v>
      </c>
      <c r="E148" s="1634"/>
      <c r="F148" s="1635"/>
      <c r="G148" s="1623">
        <v>9.4999999999999998E-3</v>
      </c>
      <c r="H148" s="1624"/>
      <c r="I148" s="1623">
        <v>3.5999999999999999E-3</v>
      </c>
      <c r="J148" s="1624"/>
      <c r="K148" s="231"/>
      <c r="L148" s="228"/>
      <c r="M148" s="228"/>
      <c r="N148" s="229"/>
      <c r="O148" s="229"/>
      <c r="P148" s="229"/>
      <c r="Q148" s="229"/>
      <c r="R148" s="229"/>
      <c r="S148" s="229"/>
      <c r="T148" s="229"/>
      <c r="U148" s="229"/>
      <c r="V148" s="229"/>
    </row>
    <row r="149" spans="2:22" x14ac:dyDescent="0.65">
      <c r="B149" s="1636"/>
      <c r="C149" s="1637"/>
      <c r="D149" s="1633">
        <v>2010</v>
      </c>
      <c r="E149" s="1634"/>
      <c r="F149" s="1635"/>
      <c r="G149" s="1623">
        <v>9.4999999999999998E-3</v>
      </c>
      <c r="H149" s="1624"/>
      <c r="I149" s="1623">
        <v>3.5000000000000001E-3</v>
      </c>
      <c r="J149" s="1624"/>
      <c r="K149" s="231"/>
      <c r="L149" s="228"/>
      <c r="M149" s="228"/>
      <c r="N149" s="229"/>
      <c r="O149" s="229"/>
      <c r="P149" s="229"/>
      <c r="Q149" s="229"/>
      <c r="R149" s="229"/>
      <c r="S149" s="229"/>
      <c r="T149" s="229"/>
      <c r="U149" s="229"/>
      <c r="V149" s="229"/>
    </row>
    <row r="150" spans="2:22" x14ac:dyDescent="0.65">
      <c r="B150" s="1636"/>
      <c r="C150" s="1637"/>
      <c r="D150" s="1633">
        <v>2011</v>
      </c>
      <c r="E150" s="1634"/>
      <c r="F150" s="1635"/>
      <c r="G150" s="1623">
        <v>9.5999999999999992E-3</v>
      </c>
      <c r="H150" s="1624"/>
      <c r="I150" s="1623">
        <v>3.3999999999999998E-3</v>
      </c>
      <c r="J150" s="1624"/>
      <c r="K150" s="231"/>
      <c r="L150" s="228"/>
      <c r="M150" s="228"/>
      <c r="N150" s="229"/>
      <c r="O150" s="229"/>
      <c r="P150" s="229"/>
      <c r="Q150" s="229"/>
      <c r="R150" s="229"/>
      <c r="S150" s="229"/>
      <c r="T150" s="229"/>
      <c r="U150" s="229"/>
      <c r="V150" s="229"/>
    </row>
    <row r="151" spans="2:22" x14ac:dyDescent="0.65">
      <c r="B151" s="1636"/>
      <c r="C151" s="1637"/>
      <c r="D151" s="1633">
        <v>2012</v>
      </c>
      <c r="E151" s="1634"/>
      <c r="F151" s="1635"/>
      <c r="G151" s="1623">
        <v>9.5999999999999992E-3</v>
      </c>
      <c r="H151" s="1624"/>
      <c r="I151" s="1623">
        <v>3.3E-3</v>
      </c>
      <c r="J151" s="1624"/>
      <c r="K151" s="231"/>
      <c r="L151" s="228"/>
      <c r="M151" s="228"/>
      <c r="N151" s="229"/>
      <c r="O151" s="229"/>
      <c r="P151" s="229"/>
      <c r="Q151" s="229"/>
      <c r="R151" s="229"/>
      <c r="S151" s="229"/>
      <c r="T151" s="229"/>
      <c r="U151" s="229"/>
      <c r="V151" s="229"/>
    </row>
    <row r="152" spans="2:22" x14ac:dyDescent="0.65">
      <c r="B152" s="1636"/>
      <c r="C152" s="1637"/>
      <c r="D152" s="1633">
        <v>2013</v>
      </c>
      <c r="E152" s="1634"/>
      <c r="F152" s="1635"/>
      <c r="G152" s="1623">
        <v>9.4999999999999998E-3</v>
      </c>
      <c r="H152" s="1624"/>
      <c r="I152" s="1623">
        <v>3.5000000000000001E-3</v>
      </c>
      <c r="J152" s="1624"/>
      <c r="K152" s="231"/>
      <c r="L152" s="228"/>
      <c r="M152" s="228"/>
      <c r="N152" s="229"/>
      <c r="O152" s="229"/>
      <c r="P152" s="229"/>
      <c r="Q152" s="229"/>
      <c r="R152" s="229"/>
      <c r="S152" s="229"/>
      <c r="T152" s="229"/>
      <c r="U152" s="229"/>
      <c r="V152" s="229"/>
    </row>
    <row r="153" spans="2:22" x14ac:dyDescent="0.65">
      <c r="B153" s="1636"/>
      <c r="C153" s="1637"/>
      <c r="D153" s="1633">
        <v>2014</v>
      </c>
      <c r="E153" s="1634"/>
      <c r="F153" s="1635"/>
      <c r="G153" s="1623">
        <v>9.4999999999999998E-3</v>
      </c>
      <c r="H153" s="1624"/>
      <c r="I153" s="1623">
        <v>3.3E-3</v>
      </c>
      <c r="J153" s="1624"/>
      <c r="K153" s="231"/>
      <c r="L153" s="228"/>
      <c r="M153" s="228"/>
      <c r="N153" s="229"/>
      <c r="O153" s="229"/>
      <c r="P153" s="229"/>
      <c r="Q153" s="229"/>
      <c r="R153" s="229"/>
      <c r="S153" s="229"/>
      <c r="T153" s="229"/>
      <c r="U153" s="229"/>
      <c r="V153" s="229"/>
    </row>
    <row r="154" spans="2:22" x14ac:dyDescent="0.65">
      <c r="B154" s="1636"/>
      <c r="C154" s="1637"/>
      <c r="D154" s="1633">
        <v>2015</v>
      </c>
      <c r="E154" s="1634"/>
      <c r="F154" s="1635"/>
      <c r="G154" s="1623">
        <v>9.4000000000000004E-3</v>
      </c>
      <c r="H154" s="1624"/>
      <c r="I154" s="1623">
        <v>3.0999999999999999E-3</v>
      </c>
      <c r="J154" s="1624"/>
      <c r="K154" s="231"/>
      <c r="L154" s="228"/>
      <c r="M154" s="228"/>
      <c r="N154" s="229"/>
      <c r="O154" s="229"/>
      <c r="P154" s="229"/>
      <c r="Q154" s="229"/>
      <c r="R154" s="229"/>
      <c r="S154" s="229"/>
      <c r="T154" s="229"/>
      <c r="U154" s="229"/>
      <c r="V154" s="229"/>
    </row>
    <row r="155" spans="2:22" x14ac:dyDescent="0.65">
      <c r="B155" s="1636"/>
      <c r="C155" s="1637"/>
      <c r="D155" s="1633">
        <v>2016</v>
      </c>
      <c r="E155" s="1634"/>
      <c r="F155" s="1635"/>
      <c r="G155" s="1623">
        <v>9.1000000000000004E-3</v>
      </c>
      <c r="H155" s="1624"/>
      <c r="I155" s="1623">
        <v>2.8999999999999998E-3</v>
      </c>
      <c r="J155" s="1624"/>
      <c r="K155" s="231"/>
      <c r="L155" s="228"/>
      <c r="M155" s="228"/>
      <c r="N155" s="229"/>
      <c r="O155" s="229"/>
      <c r="P155" s="229"/>
      <c r="Q155" s="229"/>
      <c r="R155" s="229"/>
      <c r="S155" s="229"/>
      <c r="T155" s="229"/>
      <c r="U155" s="229"/>
      <c r="V155" s="229"/>
    </row>
    <row r="156" spans="2:22" x14ac:dyDescent="0.65">
      <c r="B156" s="1636"/>
      <c r="C156" s="1637"/>
      <c r="D156" s="1633">
        <v>2017</v>
      </c>
      <c r="E156" s="1634"/>
      <c r="F156" s="1635"/>
      <c r="G156" s="1623">
        <v>8.3999999999999995E-3</v>
      </c>
      <c r="H156" s="1624"/>
      <c r="I156" s="1623">
        <v>1.8E-3</v>
      </c>
      <c r="J156" s="1624"/>
      <c r="K156" s="231"/>
      <c r="L156" s="228"/>
      <c r="M156" s="228"/>
      <c r="N156" s="229"/>
      <c r="O156" s="229"/>
      <c r="P156" s="229"/>
      <c r="Q156" s="229"/>
      <c r="R156" s="229"/>
      <c r="S156" s="229"/>
      <c r="T156" s="229"/>
      <c r="U156" s="229"/>
      <c r="V156" s="229"/>
    </row>
    <row r="157" spans="2:22" x14ac:dyDescent="0.65">
      <c r="B157" s="1636"/>
      <c r="C157" s="1637"/>
      <c r="D157" s="1633">
        <v>2018</v>
      </c>
      <c r="E157" s="1634"/>
      <c r="F157" s="1635"/>
      <c r="G157" s="1623">
        <v>8.0999999999999996E-3</v>
      </c>
      <c r="H157" s="1624"/>
      <c r="I157" s="1623">
        <v>1.5E-3</v>
      </c>
      <c r="J157" s="1624"/>
      <c r="K157" s="231"/>
      <c r="L157" s="228"/>
      <c r="M157" s="228"/>
      <c r="N157" s="229"/>
      <c r="O157" s="229"/>
      <c r="P157" s="229"/>
      <c r="Q157" s="229"/>
      <c r="R157" s="229"/>
      <c r="S157" s="229"/>
      <c r="T157" s="229"/>
      <c r="U157" s="229"/>
      <c r="V157" s="229"/>
    </row>
    <row r="158" spans="2:22" x14ac:dyDescent="0.65">
      <c r="B158" s="1636"/>
      <c r="C158" s="1637"/>
      <c r="D158" s="1633">
        <v>2019</v>
      </c>
      <c r="E158" s="1634"/>
      <c r="F158" s="1635"/>
      <c r="G158" s="1623">
        <v>8.0000000000000002E-3</v>
      </c>
      <c r="H158" s="1624"/>
      <c r="I158" s="1623">
        <v>1.2999999999999999E-3</v>
      </c>
      <c r="J158" s="1624"/>
      <c r="K158" s="231"/>
      <c r="L158" s="228"/>
      <c r="M158" s="228"/>
      <c r="N158" s="229"/>
      <c r="O158" s="229"/>
      <c r="P158" s="229"/>
      <c r="Q158" s="229"/>
      <c r="R158" s="229"/>
      <c r="S158" s="229"/>
      <c r="T158" s="229"/>
      <c r="U158" s="229"/>
      <c r="V158" s="229"/>
    </row>
    <row r="159" spans="2:22" x14ac:dyDescent="0.65">
      <c r="B159" s="1638"/>
      <c r="C159" s="1639"/>
      <c r="D159" s="1633">
        <v>2020</v>
      </c>
      <c r="E159" s="1634"/>
      <c r="F159" s="1635"/>
      <c r="G159" s="1623">
        <v>7.9000000000000008E-3</v>
      </c>
      <c r="H159" s="1624"/>
      <c r="I159" s="1623">
        <v>1.1999999999999999E-3</v>
      </c>
      <c r="J159" s="1624"/>
      <c r="K159" s="231"/>
      <c r="L159" s="228"/>
      <c r="M159" s="228"/>
      <c r="N159" s="229"/>
      <c r="O159" s="229"/>
      <c r="P159" s="229"/>
      <c r="Q159" s="229"/>
      <c r="R159" s="229"/>
      <c r="S159" s="229"/>
      <c r="T159" s="229"/>
      <c r="U159" s="229"/>
      <c r="V159" s="229"/>
    </row>
    <row r="160" spans="2:22" x14ac:dyDescent="0.65">
      <c r="B160" s="1594" t="s">
        <v>294</v>
      </c>
      <c r="C160" s="1595"/>
      <c r="D160" s="1589" t="s">
        <v>295</v>
      </c>
      <c r="E160" s="1590"/>
      <c r="F160" s="1591"/>
      <c r="G160" s="1623">
        <v>0.46039999999999998</v>
      </c>
      <c r="H160" s="1624"/>
      <c r="I160" s="1623">
        <v>4.9700000000000001E-2</v>
      </c>
      <c r="J160" s="1624"/>
      <c r="K160" s="231"/>
      <c r="L160" s="228"/>
      <c r="M160" s="228"/>
      <c r="N160" s="229"/>
      <c r="O160" s="229"/>
      <c r="P160" s="229"/>
      <c r="Q160" s="229"/>
      <c r="R160" s="229"/>
      <c r="S160" s="229"/>
      <c r="T160" s="229"/>
      <c r="U160" s="229"/>
      <c r="V160" s="229"/>
    </row>
    <row r="161" spans="2:22" x14ac:dyDescent="0.65">
      <c r="B161" s="1596"/>
      <c r="C161" s="1597"/>
      <c r="D161" s="1589" t="s">
        <v>296</v>
      </c>
      <c r="E161" s="1590"/>
      <c r="F161" s="1591"/>
      <c r="G161" s="1623">
        <v>0.44919999999999999</v>
      </c>
      <c r="H161" s="1624"/>
      <c r="I161" s="1623">
        <v>5.3800000000000001E-2</v>
      </c>
      <c r="J161" s="1624"/>
      <c r="K161" s="231"/>
      <c r="L161" s="228"/>
      <c r="M161" s="228"/>
      <c r="N161" s="229"/>
      <c r="O161" s="229"/>
      <c r="P161" s="229"/>
      <c r="Q161" s="229"/>
      <c r="R161" s="229"/>
      <c r="S161" s="229"/>
      <c r="T161" s="229"/>
      <c r="U161" s="229"/>
      <c r="V161" s="229"/>
    </row>
    <row r="162" spans="2:22" x14ac:dyDescent="0.65">
      <c r="B162" s="1596"/>
      <c r="C162" s="1597"/>
      <c r="D162" s="1589" t="s">
        <v>297</v>
      </c>
      <c r="E162" s="1590"/>
      <c r="F162" s="1591"/>
      <c r="G162" s="1623">
        <v>0.40899999999999997</v>
      </c>
      <c r="H162" s="1624"/>
      <c r="I162" s="1623">
        <v>5.1499999999999997E-2</v>
      </c>
      <c r="J162" s="1624"/>
      <c r="K162" s="231"/>
      <c r="L162" s="228"/>
      <c r="M162" s="228"/>
      <c r="N162" s="229"/>
      <c r="O162" s="229"/>
      <c r="P162" s="229"/>
      <c r="Q162" s="229"/>
      <c r="R162" s="229"/>
      <c r="S162" s="229"/>
      <c r="T162" s="229"/>
      <c r="U162" s="229"/>
      <c r="V162" s="229"/>
    </row>
    <row r="163" spans="2:22" x14ac:dyDescent="0.65">
      <c r="B163" s="1596"/>
      <c r="C163" s="1597"/>
      <c r="D163" s="1633">
        <v>1987</v>
      </c>
      <c r="E163" s="1634"/>
      <c r="F163" s="1635"/>
      <c r="G163" s="1623">
        <v>0.36749999999999999</v>
      </c>
      <c r="H163" s="1624"/>
      <c r="I163" s="1623">
        <v>8.4900000000000003E-2</v>
      </c>
      <c r="J163" s="1624"/>
      <c r="K163" s="231"/>
      <c r="L163" s="228"/>
      <c r="M163" s="228"/>
      <c r="N163" s="229"/>
      <c r="O163" s="229"/>
      <c r="P163" s="229"/>
      <c r="Q163" s="229"/>
      <c r="R163" s="229"/>
      <c r="S163" s="229"/>
      <c r="T163" s="229"/>
      <c r="U163" s="229"/>
      <c r="V163" s="229"/>
    </row>
    <row r="164" spans="2:22" x14ac:dyDescent="0.65">
      <c r="B164" s="1596"/>
      <c r="C164" s="1597"/>
      <c r="D164" s="1589" t="s">
        <v>298</v>
      </c>
      <c r="E164" s="1590"/>
      <c r="F164" s="1591"/>
      <c r="G164" s="1623">
        <v>0.34920000000000001</v>
      </c>
      <c r="H164" s="1624"/>
      <c r="I164" s="1623">
        <v>9.3299999999999994E-2</v>
      </c>
      <c r="J164" s="1624"/>
      <c r="K164" s="231"/>
      <c r="L164" s="228"/>
      <c r="M164" s="228"/>
      <c r="N164" s="229"/>
      <c r="O164" s="229"/>
      <c r="P164" s="229"/>
      <c r="Q164" s="229"/>
      <c r="R164" s="229"/>
      <c r="S164" s="229"/>
      <c r="T164" s="229"/>
      <c r="U164" s="229"/>
      <c r="V164" s="229"/>
    </row>
    <row r="165" spans="2:22" x14ac:dyDescent="0.65">
      <c r="B165" s="1596"/>
      <c r="C165" s="1597"/>
      <c r="D165" s="1589" t="s">
        <v>299</v>
      </c>
      <c r="E165" s="1590"/>
      <c r="F165" s="1591"/>
      <c r="G165" s="1623">
        <v>0.3246</v>
      </c>
      <c r="H165" s="1624"/>
      <c r="I165" s="1623">
        <v>0.1142</v>
      </c>
      <c r="J165" s="1624"/>
      <c r="K165" s="231"/>
      <c r="L165" s="228"/>
      <c r="M165" s="228"/>
      <c r="N165" s="229"/>
      <c r="O165" s="229"/>
      <c r="P165" s="229"/>
      <c r="Q165" s="229"/>
      <c r="R165" s="229"/>
      <c r="S165" s="229"/>
      <c r="T165" s="229"/>
      <c r="U165" s="229"/>
      <c r="V165" s="229"/>
    </row>
    <row r="166" spans="2:22" x14ac:dyDescent="0.65">
      <c r="B166" s="1596"/>
      <c r="C166" s="1597"/>
      <c r="D166" s="1633">
        <v>1996</v>
      </c>
      <c r="E166" s="1634"/>
      <c r="F166" s="1635"/>
      <c r="G166" s="1623">
        <v>0.1278</v>
      </c>
      <c r="H166" s="1624"/>
      <c r="I166" s="1623">
        <v>0.16800000000000001</v>
      </c>
      <c r="J166" s="1624"/>
      <c r="K166" s="231"/>
      <c r="L166" s="228"/>
      <c r="M166" s="228"/>
      <c r="N166" s="229"/>
      <c r="O166" s="229"/>
      <c r="P166" s="229"/>
      <c r="Q166" s="229"/>
      <c r="R166" s="229"/>
      <c r="S166" s="229"/>
      <c r="T166" s="229"/>
      <c r="U166" s="229"/>
      <c r="V166" s="229"/>
    </row>
    <row r="167" spans="2:22" x14ac:dyDescent="0.65">
      <c r="B167" s="1596"/>
      <c r="C167" s="1597"/>
      <c r="D167" s="1633">
        <v>1997</v>
      </c>
      <c r="E167" s="1634"/>
      <c r="F167" s="1635"/>
      <c r="G167" s="1623">
        <v>9.2399999999999996E-2</v>
      </c>
      <c r="H167" s="1624"/>
      <c r="I167" s="1623">
        <v>0.1726</v>
      </c>
      <c r="J167" s="1624"/>
      <c r="K167" s="231"/>
      <c r="L167" s="228"/>
      <c r="M167" s="228"/>
      <c r="N167" s="229"/>
      <c r="O167" s="229"/>
      <c r="P167" s="229"/>
      <c r="Q167" s="229"/>
      <c r="R167" s="229"/>
      <c r="S167" s="229"/>
      <c r="T167" s="229"/>
      <c r="U167" s="229"/>
      <c r="V167" s="229"/>
    </row>
    <row r="168" spans="2:22" x14ac:dyDescent="0.65">
      <c r="B168" s="1596"/>
      <c r="C168" s="1597"/>
      <c r="D168" s="1633">
        <v>1998</v>
      </c>
      <c r="E168" s="1634"/>
      <c r="F168" s="1635"/>
      <c r="G168" s="1623">
        <v>6.5500000000000003E-2</v>
      </c>
      <c r="H168" s="1624"/>
      <c r="I168" s="1623">
        <v>0.17499999999999999</v>
      </c>
      <c r="J168" s="1624"/>
      <c r="K168" s="231"/>
      <c r="L168" s="228"/>
      <c r="M168" s="228"/>
      <c r="N168" s="229"/>
      <c r="O168" s="229"/>
      <c r="P168" s="229"/>
      <c r="Q168" s="229"/>
      <c r="R168" s="229"/>
      <c r="S168" s="229"/>
      <c r="T168" s="229"/>
      <c r="U168" s="229"/>
      <c r="V168" s="229"/>
    </row>
    <row r="169" spans="2:22" x14ac:dyDescent="0.65">
      <c r="B169" s="1596"/>
      <c r="C169" s="1597"/>
      <c r="D169" s="1633">
        <v>1999</v>
      </c>
      <c r="E169" s="1634"/>
      <c r="F169" s="1635"/>
      <c r="G169" s="1623">
        <v>6.4799999999999996E-2</v>
      </c>
      <c r="H169" s="1624"/>
      <c r="I169" s="1623">
        <v>0.1724</v>
      </c>
      <c r="J169" s="1624"/>
      <c r="K169" s="231"/>
      <c r="L169" s="228"/>
      <c r="M169" s="228"/>
      <c r="N169" s="229"/>
      <c r="O169" s="229"/>
      <c r="P169" s="229"/>
      <c r="Q169" s="229"/>
      <c r="R169" s="229"/>
      <c r="S169" s="229"/>
      <c r="T169" s="229"/>
      <c r="U169" s="229"/>
      <c r="V169" s="229"/>
    </row>
    <row r="170" spans="2:22" x14ac:dyDescent="0.65">
      <c r="B170" s="1596"/>
      <c r="C170" s="1597"/>
      <c r="D170" s="1633">
        <v>2000</v>
      </c>
      <c r="E170" s="1634"/>
      <c r="F170" s="1635"/>
      <c r="G170" s="1623">
        <v>6.3E-2</v>
      </c>
      <c r="H170" s="1624"/>
      <c r="I170" s="1623">
        <v>0.16600000000000001</v>
      </c>
      <c r="J170" s="1624"/>
      <c r="K170" s="231"/>
      <c r="L170" s="228"/>
      <c r="M170" s="228"/>
      <c r="N170" s="229"/>
      <c r="O170" s="229"/>
      <c r="P170" s="229"/>
      <c r="Q170" s="229"/>
      <c r="R170" s="229"/>
      <c r="S170" s="229"/>
      <c r="T170" s="229"/>
      <c r="U170" s="229"/>
      <c r="V170" s="229"/>
    </row>
    <row r="171" spans="2:22" x14ac:dyDescent="0.65">
      <c r="B171" s="1596"/>
      <c r="C171" s="1597"/>
      <c r="D171" s="1633">
        <v>2001</v>
      </c>
      <c r="E171" s="1634"/>
      <c r="F171" s="1635"/>
      <c r="G171" s="1623">
        <v>5.7700000000000001E-2</v>
      </c>
      <c r="H171" s="1624"/>
      <c r="I171" s="1623">
        <v>0.14680000000000001</v>
      </c>
      <c r="J171" s="1624"/>
      <c r="K171" s="231"/>
      <c r="L171" s="228"/>
      <c r="M171" s="228"/>
      <c r="N171" s="229"/>
      <c r="O171" s="229"/>
      <c r="P171" s="229"/>
      <c r="Q171" s="229"/>
      <c r="R171" s="229"/>
      <c r="S171" s="229"/>
      <c r="T171" s="229"/>
      <c r="U171" s="229"/>
      <c r="V171" s="229"/>
    </row>
    <row r="172" spans="2:22" x14ac:dyDescent="0.65">
      <c r="B172" s="1596"/>
      <c r="C172" s="1597"/>
      <c r="D172" s="1633">
        <v>2002</v>
      </c>
      <c r="E172" s="1634"/>
      <c r="F172" s="1635"/>
      <c r="G172" s="1623">
        <v>6.3399999999999998E-2</v>
      </c>
      <c r="H172" s="1624"/>
      <c r="I172" s="1623">
        <v>0.1673</v>
      </c>
      <c r="J172" s="1624"/>
      <c r="K172" s="231"/>
      <c r="L172" s="228"/>
      <c r="M172" s="228"/>
      <c r="N172" s="229"/>
      <c r="O172" s="229"/>
      <c r="P172" s="229"/>
      <c r="Q172" s="229"/>
      <c r="R172" s="229"/>
      <c r="S172" s="229"/>
      <c r="T172" s="229"/>
      <c r="U172" s="229"/>
      <c r="V172" s="229"/>
    </row>
    <row r="173" spans="2:22" x14ac:dyDescent="0.65">
      <c r="B173" s="1596"/>
      <c r="C173" s="1597"/>
      <c r="D173" s="1633">
        <v>2003</v>
      </c>
      <c r="E173" s="1634"/>
      <c r="F173" s="1635"/>
      <c r="G173" s="1623">
        <v>6.0199999999999997E-2</v>
      </c>
      <c r="H173" s="1624"/>
      <c r="I173" s="1623">
        <v>0.15529999999999999</v>
      </c>
      <c r="J173" s="1624"/>
      <c r="K173" s="231"/>
      <c r="L173" s="228"/>
      <c r="M173" s="228"/>
      <c r="N173" s="229"/>
      <c r="O173" s="229"/>
      <c r="P173" s="229"/>
      <c r="Q173" s="229"/>
      <c r="R173" s="229"/>
      <c r="S173" s="229"/>
      <c r="T173" s="229"/>
      <c r="U173" s="229"/>
      <c r="V173" s="229"/>
    </row>
    <row r="174" spans="2:22" x14ac:dyDescent="0.65">
      <c r="B174" s="1596"/>
      <c r="C174" s="1597"/>
      <c r="D174" s="1633">
        <v>2004</v>
      </c>
      <c r="E174" s="1634"/>
      <c r="F174" s="1635"/>
      <c r="G174" s="1623">
        <v>2.98E-2</v>
      </c>
      <c r="H174" s="1624"/>
      <c r="I174" s="1623">
        <v>1.6400000000000001E-2</v>
      </c>
      <c r="J174" s="1624"/>
      <c r="K174" s="231"/>
      <c r="L174" s="228"/>
      <c r="M174" s="228"/>
      <c r="N174" s="229"/>
      <c r="O174" s="229"/>
      <c r="P174" s="229"/>
      <c r="Q174" s="229"/>
      <c r="R174" s="229"/>
      <c r="S174" s="229"/>
      <c r="T174" s="229"/>
      <c r="U174" s="229"/>
      <c r="V174" s="229"/>
    </row>
    <row r="175" spans="2:22" x14ac:dyDescent="0.65">
      <c r="B175" s="1596"/>
      <c r="C175" s="1597"/>
      <c r="D175" s="1633">
        <v>2005</v>
      </c>
      <c r="E175" s="1634"/>
      <c r="F175" s="1635"/>
      <c r="G175" s="1623">
        <v>2.9700000000000001E-2</v>
      </c>
      <c r="H175" s="1624"/>
      <c r="I175" s="1623">
        <v>8.3000000000000001E-3</v>
      </c>
      <c r="J175" s="1624"/>
      <c r="K175" s="231"/>
      <c r="L175" s="228"/>
      <c r="M175" s="228"/>
      <c r="N175" s="229"/>
      <c r="O175" s="229"/>
      <c r="P175" s="229"/>
      <c r="Q175" s="229"/>
      <c r="R175" s="229"/>
      <c r="S175" s="229"/>
      <c r="T175" s="229"/>
      <c r="U175" s="229"/>
      <c r="V175" s="229"/>
    </row>
    <row r="176" spans="2:22" x14ac:dyDescent="0.65">
      <c r="B176" s="1596"/>
      <c r="C176" s="1597"/>
      <c r="D176" s="1633">
        <v>2006</v>
      </c>
      <c r="E176" s="1634"/>
      <c r="F176" s="1635"/>
      <c r="G176" s="1623">
        <v>2.9899999999999999E-2</v>
      </c>
      <c r="H176" s="1624"/>
      <c r="I176" s="1623">
        <v>2.41E-2</v>
      </c>
      <c r="J176" s="1624"/>
      <c r="K176" s="231"/>
      <c r="L176" s="228"/>
      <c r="M176" s="228"/>
      <c r="N176" s="229"/>
      <c r="O176" s="229"/>
      <c r="P176" s="229"/>
      <c r="Q176" s="229"/>
      <c r="R176" s="229"/>
      <c r="S176" s="229"/>
      <c r="T176" s="229"/>
      <c r="U176" s="229"/>
      <c r="V176" s="229"/>
    </row>
    <row r="177" spans="2:22" x14ac:dyDescent="0.65">
      <c r="B177" s="1596"/>
      <c r="C177" s="1597"/>
      <c r="D177" s="1633">
        <v>2007</v>
      </c>
      <c r="E177" s="1634"/>
      <c r="F177" s="1635"/>
      <c r="G177" s="1623">
        <v>3.2199999999999999E-2</v>
      </c>
      <c r="H177" s="1624"/>
      <c r="I177" s="1623">
        <v>1.5E-3</v>
      </c>
      <c r="J177" s="1624"/>
      <c r="K177" s="231"/>
      <c r="L177" s="228"/>
      <c r="M177" s="228"/>
      <c r="N177" s="229"/>
      <c r="O177" s="229"/>
      <c r="P177" s="229"/>
      <c r="Q177" s="229"/>
      <c r="R177" s="229"/>
      <c r="S177" s="229"/>
      <c r="T177" s="229"/>
      <c r="U177" s="229"/>
      <c r="V177" s="229"/>
    </row>
    <row r="178" spans="2:22" x14ac:dyDescent="0.65">
      <c r="B178" s="1596"/>
      <c r="C178" s="1597"/>
      <c r="D178" s="1633">
        <v>2008</v>
      </c>
      <c r="E178" s="1634"/>
      <c r="F178" s="1635"/>
      <c r="G178" s="1623">
        <v>3.4000000000000002E-2</v>
      </c>
      <c r="H178" s="1624"/>
      <c r="I178" s="1623">
        <v>1.5E-3</v>
      </c>
      <c r="J178" s="1624"/>
      <c r="K178" s="231"/>
      <c r="L178" s="228"/>
      <c r="M178" s="228"/>
      <c r="N178" s="229"/>
      <c r="O178" s="229"/>
      <c r="P178" s="229"/>
      <c r="Q178" s="229"/>
      <c r="R178" s="229"/>
      <c r="S178" s="229"/>
      <c r="T178" s="229"/>
      <c r="U178" s="229"/>
      <c r="V178" s="229"/>
    </row>
    <row r="179" spans="2:22" x14ac:dyDescent="0.65">
      <c r="B179" s="1596"/>
      <c r="C179" s="1597"/>
      <c r="D179" s="1633">
        <v>2009</v>
      </c>
      <c r="E179" s="1634"/>
      <c r="F179" s="1635"/>
      <c r="G179" s="1623">
        <v>3.39E-2</v>
      </c>
      <c r="H179" s="1624"/>
      <c r="I179" s="1623">
        <v>1.5E-3</v>
      </c>
      <c r="J179" s="1624"/>
      <c r="K179" s="231"/>
      <c r="L179" s="228"/>
      <c r="M179" s="228"/>
      <c r="N179" s="229"/>
      <c r="O179" s="229"/>
      <c r="P179" s="229"/>
      <c r="Q179" s="229"/>
      <c r="R179" s="229"/>
      <c r="S179" s="229"/>
      <c r="T179" s="229"/>
      <c r="U179" s="229"/>
      <c r="V179" s="229"/>
    </row>
    <row r="180" spans="2:22" x14ac:dyDescent="0.65">
      <c r="B180" s="1596"/>
      <c r="C180" s="1597"/>
      <c r="D180" s="1633">
        <v>2010</v>
      </c>
      <c r="E180" s="1634"/>
      <c r="F180" s="1635"/>
      <c r="G180" s="1623">
        <v>3.2000000000000001E-2</v>
      </c>
      <c r="H180" s="1624"/>
      <c r="I180" s="1623">
        <v>1.5E-3</v>
      </c>
      <c r="J180" s="1624"/>
      <c r="K180" s="231"/>
      <c r="L180" s="228"/>
      <c r="M180" s="228"/>
      <c r="N180" s="229"/>
      <c r="O180" s="229"/>
      <c r="P180" s="229"/>
      <c r="Q180" s="229"/>
      <c r="R180" s="229"/>
      <c r="S180" s="229"/>
      <c r="T180" s="229"/>
      <c r="U180" s="229"/>
      <c r="V180" s="229"/>
    </row>
    <row r="181" spans="2:22" x14ac:dyDescent="0.65">
      <c r="B181" s="1596"/>
      <c r="C181" s="1597"/>
      <c r="D181" s="1633">
        <v>2011</v>
      </c>
      <c r="E181" s="1634"/>
      <c r="F181" s="1635"/>
      <c r="G181" s="1623">
        <v>3.04E-2</v>
      </c>
      <c r="H181" s="1624"/>
      <c r="I181" s="1623">
        <v>1.5E-3</v>
      </c>
      <c r="J181" s="1624"/>
      <c r="K181" s="231"/>
      <c r="L181" s="228"/>
      <c r="M181" s="228"/>
      <c r="N181" s="229"/>
      <c r="O181" s="229"/>
      <c r="P181" s="229"/>
      <c r="Q181" s="229"/>
      <c r="R181" s="229"/>
      <c r="S181" s="229"/>
      <c r="T181" s="229"/>
      <c r="U181" s="229"/>
      <c r="V181" s="229"/>
    </row>
    <row r="182" spans="2:22" x14ac:dyDescent="0.65">
      <c r="B182" s="1596"/>
      <c r="C182" s="1597"/>
      <c r="D182" s="1633">
        <v>2012</v>
      </c>
      <c r="E182" s="1634"/>
      <c r="F182" s="1635"/>
      <c r="G182" s="1623">
        <v>3.1300000000000001E-2</v>
      </c>
      <c r="H182" s="1624"/>
      <c r="I182" s="1623">
        <v>1.5E-3</v>
      </c>
      <c r="J182" s="1624"/>
      <c r="K182" s="231"/>
      <c r="L182" s="228"/>
      <c r="M182" s="228"/>
      <c r="N182" s="229"/>
      <c r="O182" s="229"/>
      <c r="P182" s="229"/>
      <c r="Q182" s="229"/>
      <c r="R182" s="229"/>
      <c r="S182" s="229"/>
      <c r="T182" s="229"/>
      <c r="U182" s="229"/>
      <c r="V182" s="229"/>
    </row>
    <row r="183" spans="2:22" x14ac:dyDescent="0.65">
      <c r="B183" s="1596"/>
      <c r="C183" s="1597"/>
      <c r="D183" s="1633">
        <v>2013</v>
      </c>
      <c r="E183" s="1634"/>
      <c r="F183" s="1635"/>
      <c r="G183" s="1623">
        <v>3.1300000000000001E-2</v>
      </c>
      <c r="H183" s="1624"/>
      <c r="I183" s="1623">
        <v>1.5E-3</v>
      </c>
      <c r="J183" s="1624"/>
      <c r="K183" s="231"/>
      <c r="L183" s="228"/>
      <c r="M183" s="228"/>
      <c r="N183" s="229"/>
      <c r="O183" s="229"/>
      <c r="P183" s="229"/>
      <c r="Q183" s="229"/>
      <c r="R183" s="229"/>
      <c r="S183" s="229"/>
      <c r="T183" s="229"/>
      <c r="U183" s="229"/>
      <c r="V183" s="229"/>
    </row>
    <row r="184" spans="2:22" x14ac:dyDescent="0.65">
      <c r="B184" s="1596"/>
      <c r="C184" s="1597"/>
      <c r="D184" s="1633">
        <v>2014</v>
      </c>
      <c r="E184" s="1634"/>
      <c r="F184" s="1635"/>
      <c r="G184" s="1623">
        <v>3.15E-2</v>
      </c>
      <c r="H184" s="1624"/>
      <c r="I184" s="1623">
        <v>1.5E-3</v>
      </c>
      <c r="J184" s="1624"/>
      <c r="K184" s="231"/>
      <c r="L184" s="228"/>
      <c r="M184" s="228"/>
      <c r="N184" s="229"/>
      <c r="O184" s="229"/>
      <c r="P184" s="229"/>
      <c r="Q184" s="229"/>
      <c r="R184" s="229"/>
      <c r="S184" s="229"/>
      <c r="T184" s="229"/>
      <c r="U184" s="229"/>
      <c r="V184" s="229"/>
    </row>
    <row r="185" spans="2:22" x14ac:dyDescent="0.65">
      <c r="B185" s="1596"/>
      <c r="C185" s="1597"/>
      <c r="D185" s="1633">
        <v>2015</v>
      </c>
      <c r="E185" s="1634"/>
      <c r="F185" s="1635"/>
      <c r="G185" s="1623">
        <v>3.32E-2</v>
      </c>
      <c r="H185" s="1624"/>
      <c r="I185" s="1623">
        <v>2.0999999999999999E-3</v>
      </c>
      <c r="J185" s="1624"/>
      <c r="K185" s="231"/>
      <c r="L185" s="228"/>
      <c r="M185" s="228"/>
      <c r="N185" s="229"/>
      <c r="O185" s="229"/>
      <c r="P185" s="229"/>
      <c r="Q185" s="229"/>
      <c r="R185" s="229"/>
      <c r="S185" s="229"/>
      <c r="T185" s="229"/>
      <c r="U185" s="229"/>
      <c r="V185" s="229"/>
    </row>
    <row r="186" spans="2:22" x14ac:dyDescent="0.65">
      <c r="B186" s="1596"/>
      <c r="C186" s="1597"/>
      <c r="D186" s="1633">
        <v>2016</v>
      </c>
      <c r="E186" s="1634"/>
      <c r="F186" s="1635"/>
      <c r="G186" s="1623">
        <v>3.2099999999999997E-2</v>
      </c>
      <c r="H186" s="1624"/>
      <c r="I186" s="1623">
        <v>6.1000000000000004E-3</v>
      </c>
      <c r="J186" s="1624"/>
      <c r="K186" s="231"/>
      <c r="L186" s="228"/>
      <c r="M186" s="228"/>
      <c r="N186" s="229"/>
      <c r="O186" s="229"/>
      <c r="P186" s="229"/>
      <c r="Q186" s="229"/>
      <c r="R186" s="229"/>
      <c r="S186" s="229"/>
      <c r="T186" s="229"/>
      <c r="U186" s="229"/>
      <c r="V186" s="229"/>
    </row>
    <row r="187" spans="2:22" x14ac:dyDescent="0.65">
      <c r="B187" s="1596"/>
      <c r="C187" s="1597"/>
      <c r="D187" s="1633">
        <v>2017</v>
      </c>
      <c r="E187" s="1634"/>
      <c r="F187" s="1635"/>
      <c r="G187" s="1623">
        <v>3.2899999999999999E-2</v>
      </c>
      <c r="H187" s="1624"/>
      <c r="I187" s="1623">
        <v>8.3999999999999995E-3</v>
      </c>
      <c r="J187" s="1624"/>
      <c r="K187" s="231"/>
      <c r="L187" s="228"/>
      <c r="M187" s="228"/>
      <c r="N187" s="229"/>
      <c r="O187" s="229"/>
      <c r="P187" s="229"/>
      <c r="Q187" s="229"/>
      <c r="R187" s="229"/>
      <c r="S187" s="229"/>
      <c r="T187" s="229"/>
      <c r="U187" s="229"/>
      <c r="V187" s="229"/>
    </row>
    <row r="188" spans="2:22" x14ac:dyDescent="0.65">
      <c r="B188" s="1596"/>
      <c r="C188" s="1597"/>
      <c r="D188" s="1633">
        <v>2018</v>
      </c>
      <c r="E188" s="1634"/>
      <c r="F188" s="1635"/>
      <c r="G188" s="1623">
        <v>3.2599999999999997E-2</v>
      </c>
      <c r="H188" s="1624"/>
      <c r="I188" s="1623">
        <v>8.2000000000000007E-3</v>
      </c>
      <c r="J188" s="1624"/>
      <c r="K188" s="231"/>
      <c r="L188" s="228"/>
      <c r="M188" s="228"/>
      <c r="N188" s="229"/>
      <c r="O188" s="229"/>
      <c r="P188" s="229"/>
      <c r="Q188" s="229"/>
      <c r="R188" s="229"/>
      <c r="S188" s="229"/>
      <c r="T188" s="229"/>
      <c r="U188" s="229"/>
      <c r="V188" s="229"/>
    </row>
    <row r="189" spans="2:22" x14ac:dyDescent="0.65">
      <c r="B189" s="1596"/>
      <c r="C189" s="1597"/>
      <c r="D189" s="1633">
        <v>2019</v>
      </c>
      <c r="E189" s="1634"/>
      <c r="F189" s="1635"/>
      <c r="G189" s="1623">
        <v>3.3000000000000002E-2</v>
      </c>
      <c r="H189" s="1624"/>
      <c r="I189" s="1623">
        <v>9.1000000000000004E-3</v>
      </c>
      <c r="J189" s="1624"/>
      <c r="K189" s="231"/>
      <c r="L189" s="228"/>
      <c r="M189" s="228"/>
      <c r="N189" s="229"/>
      <c r="O189" s="229"/>
      <c r="P189" s="229"/>
      <c r="Q189" s="229"/>
      <c r="R189" s="229"/>
      <c r="S189" s="229"/>
      <c r="T189" s="229"/>
      <c r="U189" s="229"/>
      <c r="V189" s="229"/>
    </row>
    <row r="190" spans="2:22" x14ac:dyDescent="0.65">
      <c r="B190" s="1598"/>
      <c r="C190" s="1599"/>
      <c r="D190" s="1633">
        <v>2020</v>
      </c>
      <c r="E190" s="1634"/>
      <c r="F190" s="1635"/>
      <c r="G190" s="1623">
        <v>3.2800000000000003E-2</v>
      </c>
      <c r="H190" s="1624"/>
      <c r="I190" s="1623">
        <v>9.7999999999999997E-3</v>
      </c>
      <c r="J190" s="1624"/>
      <c r="K190" s="231"/>
      <c r="L190" s="228"/>
      <c r="M190" s="228"/>
      <c r="N190" s="229"/>
      <c r="O190" s="229"/>
      <c r="P190" s="229"/>
      <c r="Q190" s="229"/>
      <c r="R190" s="229"/>
      <c r="S190" s="229"/>
      <c r="T190" s="229"/>
      <c r="U190" s="229"/>
      <c r="V190" s="229"/>
    </row>
    <row r="191" spans="2:22" x14ac:dyDescent="0.65">
      <c r="B191" s="1600" t="s">
        <v>300</v>
      </c>
      <c r="C191" s="1601"/>
      <c r="D191" s="1589" t="s">
        <v>301</v>
      </c>
      <c r="E191" s="1590"/>
      <c r="F191" s="1591"/>
      <c r="G191" s="1621">
        <v>7.0000000000000001E-3</v>
      </c>
      <c r="H191" s="1622"/>
      <c r="I191" s="1621">
        <v>8.3000000000000001E-3</v>
      </c>
      <c r="J191" s="1622"/>
      <c r="K191" s="231"/>
      <c r="L191" s="228"/>
      <c r="M191" s="228"/>
      <c r="N191" s="229"/>
      <c r="O191" s="229"/>
      <c r="P191" s="229"/>
      <c r="Q191" s="229"/>
      <c r="R191" s="229"/>
      <c r="S191" s="229"/>
      <c r="T191" s="229"/>
      <c r="U191" s="229"/>
      <c r="V191" s="229"/>
    </row>
    <row r="192" spans="2:22" x14ac:dyDescent="0.65">
      <c r="B192" s="1602"/>
      <c r="C192" s="1603"/>
      <c r="D192" s="1589" t="s">
        <v>302</v>
      </c>
      <c r="E192" s="1590"/>
      <c r="F192" s="1591"/>
      <c r="G192" s="1606">
        <v>0</v>
      </c>
      <c r="H192" s="1607"/>
      <c r="I192" s="1606">
        <v>0</v>
      </c>
      <c r="J192" s="1607"/>
      <c r="K192" s="231"/>
      <c r="L192" s="228"/>
      <c r="M192" s="228"/>
      <c r="N192" s="229"/>
      <c r="O192" s="229"/>
      <c r="P192" s="229"/>
      <c r="Q192" s="229"/>
      <c r="R192" s="229"/>
      <c r="S192" s="229"/>
      <c r="T192" s="229"/>
      <c r="U192" s="229"/>
      <c r="V192" s="229"/>
    </row>
    <row r="193" spans="2:22" x14ac:dyDescent="0.65">
      <c r="B193" s="1604"/>
      <c r="C193" s="1605"/>
      <c r="D193" s="1589" t="s">
        <v>303</v>
      </c>
      <c r="E193" s="1590"/>
      <c r="F193" s="1591"/>
      <c r="G193" s="1621">
        <v>7.0000000000000001E-3</v>
      </c>
      <c r="H193" s="1622"/>
      <c r="I193" s="1621">
        <v>8.3000000000000001E-3</v>
      </c>
      <c r="J193" s="1622"/>
      <c r="K193" s="231"/>
      <c r="L193" s="228"/>
      <c r="M193" s="228"/>
      <c r="N193" s="229"/>
      <c r="O193" s="229"/>
      <c r="P193" s="229"/>
      <c r="Q193" s="229"/>
      <c r="R193" s="229"/>
      <c r="S193" s="229"/>
      <c r="T193" s="229"/>
      <c r="U193" s="229"/>
      <c r="V193" s="229"/>
    </row>
    <row r="194" spans="2:22" x14ac:dyDescent="0.65">
      <c r="M194" s="228"/>
      <c r="N194" s="229"/>
      <c r="O194" s="229"/>
      <c r="R194" s="229"/>
      <c r="S194" s="229"/>
      <c r="T194" s="229"/>
      <c r="U194" s="229"/>
      <c r="V194" s="229"/>
    </row>
    <row r="195" spans="2:22" ht="13.9" customHeight="1" x14ac:dyDescent="0.65">
      <c r="B195" s="223" t="s">
        <v>304</v>
      </c>
      <c r="C195" s="236" t="s">
        <v>305</v>
      </c>
      <c r="D195" s="237"/>
      <c r="E195" s="237"/>
      <c r="F195" s="237"/>
      <c r="G195" s="237"/>
      <c r="H195" s="237"/>
      <c r="I195" s="237"/>
      <c r="J195" s="237"/>
      <c r="K195" s="237"/>
      <c r="L195" s="237"/>
      <c r="M195" s="228"/>
      <c r="N195" s="229"/>
      <c r="O195" s="229"/>
      <c r="P195" s="237"/>
      <c r="Q195" s="237"/>
      <c r="R195" s="229"/>
      <c r="S195" s="229"/>
      <c r="T195" s="229"/>
      <c r="U195" s="229"/>
      <c r="V195" s="229"/>
    </row>
    <row r="196" spans="2:22" x14ac:dyDescent="0.65">
      <c r="B196" s="1612" t="s">
        <v>277</v>
      </c>
      <c r="C196" s="1613"/>
      <c r="D196" s="1614" t="s">
        <v>123</v>
      </c>
      <c r="E196" s="1615"/>
      <c r="F196" s="1616"/>
      <c r="G196" s="1631" t="s">
        <v>306</v>
      </c>
      <c r="H196" s="1632"/>
      <c r="I196" s="1617" t="s">
        <v>279</v>
      </c>
      <c r="J196" s="1618"/>
      <c r="K196" s="1617" t="s">
        <v>280</v>
      </c>
      <c r="L196" s="1618"/>
      <c r="M196" s="228"/>
      <c r="N196" s="229"/>
      <c r="O196" s="229"/>
      <c r="P196" s="229"/>
      <c r="Q196" s="229"/>
      <c r="R196" s="229"/>
      <c r="S196" s="229"/>
      <c r="T196" s="229"/>
      <c r="U196" s="229"/>
      <c r="V196" s="229"/>
    </row>
    <row r="197" spans="2:22" x14ac:dyDescent="0.65">
      <c r="B197" s="1600" t="s">
        <v>307</v>
      </c>
      <c r="C197" s="1601"/>
      <c r="D197" s="1600" t="s">
        <v>308</v>
      </c>
      <c r="E197" s="1628"/>
      <c r="F197" s="1601"/>
      <c r="G197" s="1589" t="s">
        <v>309</v>
      </c>
      <c r="H197" s="1591"/>
      <c r="I197" s="1623">
        <v>5.9999999999999995E-4</v>
      </c>
      <c r="J197" s="1624"/>
      <c r="K197" s="1623">
        <v>1.1999999999999999E-3</v>
      </c>
      <c r="L197" s="1624"/>
      <c r="M197" s="228"/>
      <c r="N197" s="229"/>
      <c r="O197" s="229"/>
      <c r="P197" s="229"/>
      <c r="Q197" s="229"/>
      <c r="R197" s="229"/>
      <c r="S197" s="229"/>
      <c r="T197" s="229"/>
      <c r="U197" s="229"/>
      <c r="V197" s="229"/>
    </row>
    <row r="198" spans="2:22" x14ac:dyDescent="0.65">
      <c r="B198" s="1602"/>
      <c r="C198" s="1603"/>
      <c r="D198" s="1602"/>
      <c r="E198" s="1629"/>
      <c r="F198" s="1603"/>
      <c r="G198" s="1589" t="s">
        <v>310</v>
      </c>
      <c r="H198" s="1591"/>
      <c r="I198" s="1623">
        <v>5.0000000000000001E-4</v>
      </c>
      <c r="J198" s="1624"/>
      <c r="K198" s="1623">
        <v>1E-3</v>
      </c>
      <c r="L198" s="1624"/>
      <c r="M198" s="228"/>
      <c r="N198" s="229"/>
      <c r="O198" s="229"/>
      <c r="P198" s="229"/>
      <c r="Q198" s="229"/>
      <c r="R198" s="229"/>
      <c r="S198" s="229"/>
      <c r="T198" s="229"/>
      <c r="U198" s="229"/>
      <c r="V198" s="229"/>
    </row>
    <row r="199" spans="2:22" x14ac:dyDescent="0.65">
      <c r="B199" s="1604"/>
      <c r="C199" s="1605"/>
      <c r="D199" s="1604"/>
      <c r="E199" s="1630"/>
      <c r="F199" s="1605"/>
      <c r="G199" s="1589" t="s">
        <v>311</v>
      </c>
      <c r="H199" s="1591"/>
      <c r="I199" s="1623">
        <v>3.0200000000000001E-2</v>
      </c>
      <c r="J199" s="1624"/>
      <c r="K199" s="1623">
        <v>1.9199999999999998E-2</v>
      </c>
      <c r="L199" s="1624"/>
      <c r="M199" s="228"/>
      <c r="N199" s="229"/>
      <c r="O199" s="229"/>
      <c r="P199" s="229"/>
      <c r="Q199" s="229"/>
      <c r="R199" s="229"/>
      <c r="S199" s="229"/>
      <c r="T199" s="229"/>
      <c r="U199" s="229"/>
      <c r="V199" s="229"/>
    </row>
    <row r="200" spans="2:22" x14ac:dyDescent="0.65">
      <c r="B200" s="1600" t="s">
        <v>312</v>
      </c>
      <c r="C200" s="1601"/>
      <c r="D200" s="1600" t="s">
        <v>308</v>
      </c>
      <c r="E200" s="1628"/>
      <c r="F200" s="1601"/>
      <c r="G200" s="1589" t="s">
        <v>309</v>
      </c>
      <c r="H200" s="1591"/>
      <c r="I200" s="1623">
        <v>1.1000000000000001E-3</v>
      </c>
      <c r="J200" s="1624"/>
      <c r="K200" s="1623">
        <v>1.6999999999999999E-3</v>
      </c>
      <c r="L200" s="1624"/>
      <c r="M200" s="228"/>
      <c r="N200" s="229"/>
      <c r="O200" s="229"/>
      <c r="P200" s="229"/>
      <c r="Q200" s="229"/>
      <c r="R200" s="229"/>
      <c r="S200" s="229"/>
      <c r="T200" s="229"/>
      <c r="U200" s="229"/>
      <c r="V200" s="229"/>
    </row>
    <row r="201" spans="2:22" x14ac:dyDescent="0.65">
      <c r="B201" s="1602"/>
      <c r="C201" s="1603"/>
      <c r="D201" s="1602"/>
      <c r="E201" s="1629"/>
      <c r="F201" s="1603"/>
      <c r="G201" s="1589" t="s">
        <v>310</v>
      </c>
      <c r="H201" s="1591"/>
      <c r="I201" s="1623">
        <v>8.9999999999999998E-4</v>
      </c>
      <c r="J201" s="1624"/>
      <c r="K201" s="1623">
        <v>1.4E-3</v>
      </c>
      <c r="L201" s="1624"/>
      <c r="M201" s="228"/>
      <c r="N201" s="229"/>
      <c r="O201" s="229"/>
      <c r="P201" s="229"/>
      <c r="Q201" s="229"/>
    </row>
    <row r="202" spans="2:22" x14ac:dyDescent="0.65">
      <c r="B202" s="1604"/>
      <c r="C202" s="1605"/>
      <c r="D202" s="1604"/>
      <c r="E202" s="1630"/>
      <c r="F202" s="1605"/>
      <c r="G202" s="1589" t="s">
        <v>311</v>
      </c>
      <c r="H202" s="1591"/>
      <c r="I202" s="1623">
        <v>2.9000000000000001E-2</v>
      </c>
      <c r="J202" s="1624"/>
      <c r="K202" s="1623">
        <v>2.1399999999999999E-2</v>
      </c>
      <c r="L202" s="1624"/>
      <c r="M202" s="228"/>
      <c r="N202" s="229"/>
      <c r="O202" s="229"/>
      <c r="P202" s="229"/>
      <c r="Q202" s="229"/>
      <c r="R202" s="237"/>
      <c r="S202" s="237"/>
      <c r="T202" s="237"/>
      <c r="U202" s="237"/>
      <c r="V202" s="238"/>
    </row>
    <row r="203" spans="2:22" x14ac:dyDescent="0.65">
      <c r="B203" s="1594" t="s">
        <v>313</v>
      </c>
      <c r="C203" s="1595"/>
      <c r="D203" s="1594" t="s">
        <v>308</v>
      </c>
      <c r="E203" s="1626"/>
      <c r="F203" s="1595"/>
      <c r="G203" s="1589" t="s">
        <v>314</v>
      </c>
      <c r="H203" s="1591"/>
      <c r="I203" s="1623">
        <v>5.1000000000000004E-3</v>
      </c>
      <c r="J203" s="1624"/>
      <c r="K203" s="1623">
        <v>4.7999999999999996E-3</v>
      </c>
      <c r="L203" s="1624"/>
      <c r="M203" s="228"/>
      <c r="N203" s="229"/>
      <c r="O203" s="229"/>
      <c r="P203" s="229"/>
      <c r="Q203" s="229"/>
      <c r="R203" s="229"/>
      <c r="S203" s="229"/>
      <c r="T203" s="229"/>
      <c r="U203" s="229"/>
      <c r="V203" s="229"/>
    </row>
    <row r="204" spans="2:22" x14ac:dyDescent="0.65">
      <c r="B204" s="1598"/>
      <c r="C204" s="1599"/>
      <c r="D204" s="1598"/>
      <c r="E204" s="1627"/>
      <c r="F204" s="1599"/>
      <c r="G204" s="1589" t="s">
        <v>311</v>
      </c>
      <c r="H204" s="1591"/>
      <c r="I204" s="1623">
        <v>9.4999999999999998E-3</v>
      </c>
      <c r="J204" s="1624"/>
      <c r="K204" s="1623">
        <v>4.3099999999999999E-2</v>
      </c>
      <c r="L204" s="1624"/>
      <c r="M204" s="228"/>
      <c r="N204" s="229"/>
      <c r="O204" s="229"/>
      <c r="P204" s="229"/>
      <c r="Q204" s="229"/>
      <c r="R204" s="229"/>
      <c r="S204" s="229"/>
      <c r="T204" s="229"/>
      <c r="U204" s="229"/>
      <c r="V204" s="229"/>
    </row>
    <row r="205" spans="2:22" x14ac:dyDescent="0.65">
      <c r="B205" s="1600" t="s">
        <v>315</v>
      </c>
      <c r="C205" s="1601"/>
      <c r="D205" s="1589" t="s">
        <v>316</v>
      </c>
      <c r="E205" s="1590"/>
      <c r="F205" s="1591"/>
      <c r="G205" s="1619"/>
      <c r="H205" s="1620"/>
      <c r="I205" s="1621">
        <v>1.4999999999999999E-2</v>
      </c>
      <c r="J205" s="1622"/>
      <c r="K205" s="1621">
        <v>4.0000000000000001E-3</v>
      </c>
      <c r="L205" s="1622"/>
      <c r="M205" s="228"/>
      <c r="N205" s="229"/>
      <c r="O205" s="229"/>
      <c r="P205" s="229"/>
      <c r="Q205" s="229"/>
      <c r="R205" s="229"/>
      <c r="S205" s="229"/>
      <c r="T205" s="229"/>
      <c r="U205" s="229"/>
      <c r="V205" s="229"/>
    </row>
    <row r="206" spans="2:22" x14ac:dyDescent="0.65">
      <c r="B206" s="1602"/>
      <c r="C206" s="1603"/>
      <c r="D206" s="1589" t="s">
        <v>317</v>
      </c>
      <c r="E206" s="1590"/>
      <c r="F206" s="1591"/>
      <c r="G206" s="1619"/>
      <c r="H206" s="1620"/>
      <c r="I206" s="1621">
        <v>1.4999999999999999E-2</v>
      </c>
      <c r="J206" s="1622"/>
      <c r="K206" s="1621">
        <v>4.0000000000000001E-3</v>
      </c>
      <c r="L206" s="1622"/>
      <c r="M206" s="228"/>
      <c r="N206" s="229"/>
      <c r="O206" s="229"/>
      <c r="P206" s="229"/>
      <c r="Q206" s="229"/>
      <c r="R206" s="229"/>
      <c r="S206" s="229"/>
      <c r="T206" s="229"/>
      <c r="U206" s="229"/>
      <c r="V206" s="229"/>
    </row>
    <row r="207" spans="2:22" x14ac:dyDescent="0.65">
      <c r="B207" s="1602"/>
      <c r="C207" s="1603"/>
      <c r="D207" s="1589" t="s">
        <v>318</v>
      </c>
      <c r="E207" s="1590"/>
      <c r="F207" s="1591"/>
      <c r="G207" s="1619"/>
      <c r="H207" s="1620"/>
      <c r="I207" s="1621">
        <v>0.14599999999999999</v>
      </c>
      <c r="J207" s="1622"/>
      <c r="K207" s="1621">
        <v>4.0000000000000001E-3</v>
      </c>
      <c r="L207" s="1622"/>
      <c r="M207" s="228"/>
      <c r="N207" s="229"/>
      <c r="O207" s="229"/>
      <c r="P207" s="229"/>
      <c r="Q207" s="229"/>
      <c r="R207" s="229"/>
      <c r="S207" s="229"/>
      <c r="T207" s="229"/>
      <c r="U207" s="229"/>
      <c r="V207" s="229"/>
    </row>
    <row r="208" spans="2:22" x14ac:dyDescent="0.65">
      <c r="B208" s="1602"/>
      <c r="C208" s="1603"/>
      <c r="D208" s="1589" t="s">
        <v>319</v>
      </c>
      <c r="E208" s="1590"/>
      <c r="F208" s="1591"/>
      <c r="G208" s="1619"/>
      <c r="H208" s="1620"/>
      <c r="I208" s="1621">
        <v>1.4999999999999999E-2</v>
      </c>
      <c r="J208" s="1622"/>
      <c r="K208" s="1621">
        <v>4.0000000000000001E-3</v>
      </c>
      <c r="L208" s="1622"/>
      <c r="M208" s="228"/>
      <c r="N208" s="229"/>
      <c r="O208" s="229"/>
      <c r="P208" s="229"/>
      <c r="Q208" s="229"/>
      <c r="R208" s="229"/>
      <c r="S208" s="229"/>
      <c r="T208" s="229"/>
      <c r="U208" s="229"/>
      <c r="V208" s="229"/>
    </row>
    <row r="209" spans="2:22" x14ac:dyDescent="0.65">
      <c r="B209" s="1604"/>
      <c r="C209" s="1605"/>
      <c r="D209" s="1589" t="s">
        <v>320</v>
      </c>
      <c r="E209" s="1590"/>
      <c r="F209" s="1591"/>
      <c r="G209" s="1619"/>
      <c r="H209" s="1620"/>
      <c r="I209" s="1623">
        <v>0.03</v>
      </c>
      <c r="J209" s="1624"/>
      <c r="K209" s="1623">
        <v>1.9E-2</v>
      </c>
      <c r="L209" s="1624"/>
      <c r="M209" s="228"/>
      <c r="N209" s="229"/>
      <c r="O209" s="229"/>
      <c r="P209" s="229"/>
      <c r="Q209" s="229"/>
      <c r="R209" s="229"/>
      <c r="S209" s="229"/>
      <c r="T209" s="229"/>
      <c r="U209" s="229"/>
      <c r="V209" s="229"/>
    </row>
    <row r="210" spans="2:22" x14ac:dyDescent="0.65">
      <c r="B210" s="1600" t="s">
        <v>312</v>
      </c>
      <c r="C210" s="1601"/>
      <c r="D210" s="1589" t="s">
        <v>317</v>
      </c>
      <c r="E210" s="1590"/>
      <c r="F210" s="1591"/>
      <c r="G210" s="1619"/>
      <c r="H210" s="1620"/>
      <c r="I210" s="1621">
        <v>1.6E-2</v>
      </c>
      <c r="J210" s="1622"/>
      <c r="K210" s="1621">
        <v>5.0000000000000001E-3</v>
      </c>
      <c r="L210" s="1622"/>
      <c r="M210" s="228"/>
      <c r="N210" s="229"/>
      <c r="O210" s="229"/>
      <c r="P210" s="229"/>
      <c r="Q210" s="229"/>
      <c r="R210" s="229"/>
      <c r="S210" s="229"/>
      <c r="T210" s="229"/>
      <c r="U210" s="229"/>
      <c r="V210" s="229"/>
    </row>
    <row r="211" spans="2:22" x14ac:dyDescent="0.65">
      <c r="B211" s="1602"/>
      <c r="C211" s="1603"/>
      <c r="D211" s="1589" t="s">
        <v>318</v>
      </c>
      <c r="E211" s="1590"/>
      <c r="F211" s="1591"/>
      <c r="G211" s="1619"/>
      <c r="H211" s="1620"/>
      <c r="I211" s="1621">
        <v>0.158</v>
      </c>
      <c r="J211" s="1622"/>
      <c r="K211" s="1621">
        <v>5.0000000000000001E-3</v>
      </c>
      <c r="L211" s="1622"/>
      <c r="M211" s="228"/>
      <c r="N211" s="229"/>
      <c r="O211" s="229"/>
      <c r="P211" s="229"/>
      <c r="Q211" s="229"/>
      <c r="R211" s="229"/>
      <c r="S211" s="229"/>
      <c r="T211" s="229"/>
      <c r="U211" s="229"/>
      <c r="V211" s="229"/>
    </row>
    <row r="212" spans="2:22" x14ac:dyDescent="0.65">
      <c r="B212" s="1602"/>
      <c r="C212" s="1603"/>
      <c r="D212" s="1589" t="s">
        <v>319</v>
      </c>
      <c r="E212" s="1590"/>
      <c r="F212" s="1591"/>
      <c r="G212" s="1619"/>
      <c r="H212" s="1620"/>
      <c r="I212" s="1621">
        <v>1.6E-2</v>
      </c>
      <c r="J212" s="1622"/>
      <c r="K212" s="1621">
        <v>5.0000000000000001E-3</v>
      </c>
      <c r="L212" s="1622"/>
      <c r="M212" s="228"/>
      <c r="N212" s="229"/>
      <c r="O212" s="229"/>
      <c r="P212" s="229"/>
      <c r="Q212" s="229"/>
      <c r="R212" s="229"/>
      <c r="S212" s="229"/>
      <c r="T212" s="229"/>
      <c r="U212" s="229"/>
      <c r="V212" s="229"/>
    </row>
    <row r="213" spans="2:22" x14ac:dyDescent="0.65">
      <c r="B213" s="1602"/>
      <c r="C213" s="1603"/>
      <c r="D213" s="1589" t="s">
        <v>321</v>
      </c>
      <c r="E213" s="1590"/>
      <c r="F213" s="1591"/>
      <c r="G213" s="1619"/>
      <c r="H213" s="1620"/>
      <c r="I213" s="1621">
        <v>0.158</v>
      </c>
      <c r="J213" s="1622"/>
      <c r="K213" s="1621">
        <v>5.0000000000000001E-3</v>
      </c>
      <c r="L213" s="1622"/>
      <c r="M213" s="228"/>
      <c r="N213" s="229"/>
      <c r="O213" s="229"/>
      <c r="P213" s="229"/>
      <c r="Q213" s="229"/>
      <c r="R213" s="229"/>
      <c r="S213" s="229"/>
      <c r="T213" s="229"/>
      <c r="U213" s="229"/>
      <c r="V213" s="229"/>
    </row>
    <row r="214" spans="2:22" x14ac:dyDescent="0.65">
      <c r="B214" s="1604"/>
      <c r="C214" s="1605"/>
      <c r="D214" s="1589" t="s">
        <v>320</v>
      </c>
      <c r="E214" s="1590"/>
      <c r="F214" s="1591"/>
      <c r="G214" s="1619"/>
      <c r="H214" s="1620"/>
      <c r="I214" s="1621">
        <v>2.9000000000000001E-2</v>
      </c>
      <c r="J214" s="1622"/>
      <c r="K214" s="1621">
        <v>2.1000000000000001E-2</v>
      </c>
      <c r="L214" s="1622"/>
      <c r="M214" s="228"/>
      <c r="N214" s="229"/>
      <c r="O214" s="229"/>
      <c r="P214" s="229"/>
      <c r="Q214" s="229"/>
      <c r="R214" s="229"/>
      <c r="S214" s="229"/>
      <c r="T214" s="229"/>
      <c r="U214" s="229"/>
      <c r="V214" s="229"/>
    </row>
    <row r="215" spans="2:22" x14ac:dyDescent="0.65">
      <c r="B215" s="1594" t="s">
        <v>322</v>
      </c>
      <c r="C215" s="1595"/>
      <c r="D215" s="1589" t="s">
        <v>318</v>
      </c>
      <c r="E215" s="1590"/>
      <c r="F215" s="1591"/>
      <c r="G215" s="1619"/>
      <c r="H215" s="1620"/>
      <c r="I215" s="1621">
        <v>1.829</v>
      </c>
      <c r="J215" s="1622"/>
      <c r="K215" s="1623">
        <v>1E-3</v>
      </c>
      <c r="L215" s="1624"/>
      <c r="M215" s="228"/>
      <c r="N215" s="229"/>
      <c r="O215" s="229"/>
      <c r="P215" s="229"/>
      <c r="Q215" s="229"/>
      <c r="R215" s="229"/>
      <c r="S215" s="229"/>
      <c r="T215" s="229"/>
      <c r="U215" s="229"/>
      <c r="V215" s="229"/>
    </row>
    <row r="216" spans="2:22" x14ac:dyDescent="0.65">
      <c r="B216" s="1596"/>
      <c r="C216" s="1597"/>
      <c r="D216" s="1589" t="s">
        <v>319</v>
      </c>
      <c r="E216" s="1590"/>
      <c r="F216" s="1591"/>
      <c r="G216" s="1619"/>
      <c r="H216" s="1620"/>
      <c r="I216" s="1621">
        <v>8.9999999999999993E-3</v>
      </c>
      <c r="J216" s="1622"/>
      <c r="K216" s="1621">
        <v>1.7999999999999999E-2</v>
      </c>
      <c r="L216" s="1622"/>
      <c r="P216" s="229"/>
      <c r="Q216" s="229"/>
      <c r="R216" s="229"/>
      <c r="S216" s="229"/>
      <c r="T216" s="229"/>
      <c r="U216" s="229"/>
      <c r="V216" s="229"/>
    </row>
    <row r="217" spans="2:22" x14ac:dyDescent="0.65">
      <c r="B217" s="1596"/>
      <c r="C217" s="1597"/>
      <c r="D217" s="1589" t="s">
        <v>321</v>
      </c>
      <c r="E217" s="1590"/>
      <c r="F217" s="1591"/>
      <c r="G217" s="1619"/>
      <c r="H217" s="1620"/>
      <c r="I217" s="1621">
        <v>1.829</v>
      </c>
      <c r="J217" s="1622"/>
      <c r="K217" s="1623">
        <v>1E-3</v>
      </c>
      <c r="L217" s="1624"/>
      <c r="M217" s="237"/>
      <c r="N217" s="237"/>
      <c r="O217" s="237"/>
      <c r="P217" s="229"/>
      <c r="Q217" s="229"/>
      <c r="R217" s="229"/>
      <c r="S217" s="229"/>
      <c r="T217" s="229"/>
      <c r="U217" s="229"/>
      <c r="V217" s="229"/>
    </row>
    <row r="218" spans="2:22" x14ac:dyDescent="0.65">
      <c r="B218" s="1598"/>
      <c r="C218" s="1599"/>
      <c r="D218" s="1589" t="s">
        <v>320</v>
      </c>
      <c r="E218" s="1590"/>
      <c r="F218" s="1591"/>
      <c r="G218" s="1619"/>
      <c r="H218" s="1620"/>
      <c r="I218" s="1623">
        <v>8.9999999999999993E-3</v>
      </c>
      <c r="J218" s="1624"/>
      <c r="K218" s="1623">
        <v>4.2999999999999997E-2</v>
      </c>
      <c r="L218" s="1624"/>
      <c r="M218" s="1625"/>
      <c r="N218" s="229"/>
      <c r="O218" s="229"/>
      <c r="P218" s="229"/>
      <c r="Q218" s="229"/>
      <c r="R218" s="229"/>
      <c r="S218" s="229"/>
      <c r="T218" s="229"/>
      <c r="U218" s="229"/>
      <c r="V218" s="229"/>
    </row>
    <row r="219" spans="2:22" x14ac:dyDescent="0.65">
      <c r="B219" s="1600" t="s">
        <v>323</v>
      </c>
      <c r="C219" s="1601"/>
      <c r="D219" s="1589" t="s">
        <v>316</v>
      </c>
      <c r="E219" s="1590"/>
      <c r="F219" s="1591"/>
      <c r="G219" s="1619"/>
      <c r="H219" s="1620"/>
      <c r="I219" s="1623">
        <v>7.4999999999999997E-2</v>
      </c>
      <c r="J219" s="1624"/>
      <c r="K219" s="1623">
        <v>2.8000000000000001E-2</v>
      </c>
      <c r="L219" s="1624"/>
      <c r="M219" s="1625"/>
      <c r="N219" s="229"/>
      <c r="O219" s="229"/>
      <c r="P219" s="229"/>
      <c r="Q219" s="229"/>
      <c r="R219" s="229"/>
      <c r="S219" s="229"/>
      <c r="T219" s="229"/>
      <c r="U219" s="229"/>
      <c r="V219" s="229"/>
    </row>
    <row r="220" spans="2:22" x14ac:dyDescent="0.65">
      <c r="B220" s="1602"/>
      <c r="C220" s="1603"/>
      <c r="D220" s="1589" t="s">
        <v>317</v>
      </c>
      <c r="E220" s="1590"/>
      <c r="F220" s="1591"/>
      <c r="G220" s="1619"/>
      <c r="H220" s="1620"/>
      <c r="I220" s="1623">
        <v>7.4999999999999997E-2</v>
      </c>
      <c r="J220" s="1624"/>
      <c r="K220" s="1623">
        <v>2.8000000000000001E-2</v>
      </c>
      <c r="L220" s="1624"/>
      <c r="M220" s="1625"/>
      <c r="N220" s="229"/>
      <c r="O220" s="229"/>
      <c r="P220" s="229"/>
      <c r="Q220" s="229"/>
      <c r="R220" s="229"/>
      <c r="S220" s="229"/>
      <c r="T220" s="229"/>
      <c r="U220" s="229"/>
      <c r="V220" s="229"/>
    </row>
    <row r="221" spans="2:22" x14ac:dyDescent="0.65">
      <c r="B221" s="1602"/>
      <c r="C221" s="1603"/>
      <c r="D221" s="1589" t="s">
        <v>318</v>
      </c>
      <c r="E221" s="1590"/>
      <c r="F221" s="1591"/>
      <c r="G221" s="1619"/>
      <c r="H221" s="1620"/>
      <c r="I221" s="1621">
        <v>0.92100000000000004</v>
      </c>
      <c r="J221" s="1622"/>
      <c r="K221" s="1606">
        <v>0</v>
      </c>
      <c r="L221" s="1607"/>
      <c r="M221" s="1625"/>
      <c r="N221" s="229"/>
      <c r="O221" s="229"/>
      <c r="P221" s="229"/>
      <c r="Q221" s="229"/>
      <c r="R221" s="229"/>
      <c r="S221" s="229"/>
      <c r="T221" s="229"/>
      <c r="U221" s="229"/>
      <c r="V221" s="229"/>
    </row>
    <row r="222" spans="2:22" x14ac:dyDescent="0.65">
      <c r="B222" s="1602"/>
      <c r="C222" s="1603"/>
      <c r="D222" s="1589" t="s">
        <v>319</v>
      </c>
      <c r="E222" s="1590"/>
      <c r="F222" s="1591"/>
      <c r="G222" s="1619"/>
      <c r="H222" s="1620"/>
      <c r="I222" s="1621">
        <v>3.0000000000000001E-3</v>
      </c>
      <c r="J222" s="1622"/>
      <c r="K222" s="1621">
        <v>7.0000000000000001E-3</v>
      </c>
      <c r="L222" s="1622"/>
      <c r="M222" s="1625"/>
      <c r="N222" s="229"/>
      <c r="O222" s="229"/>
      <c r="P222" s="229"/>
      <c r="Q222" s="229"/>
      <c r="R222" s="229"/>
      <c r="S222" s="229"/>
      <c r="T222" s="229"/>
      <c r="U222" s="229"/>
      <c r="V222" s="229"/>
    </row>
    <row r="223" spans="2:22" x14ac:dyDescent="0.65">
      <c r="B223" s="1602"/>
      <c r="C223" s="1603"/>
      <c r="D223" s="1589" t="s">
        <v>321</v>
      </c>
      <c r="E223" s="1590"/>
      <c r="F223" s="1591"/>
      <c r="G223" s="1619"/>
      <c r="H223" s="1620"/>
      <c r="I223" s="1621">
        <v>0.92100000000000004</v>
      </c>
      <c r="J223" s="1622"/>
      <c r="K223" s="1606">
        <v>0</v>
      </c>
      <c r="L223" s="1607"/>
      <c r="M223" s="1625"/>
      <c r="N223" s="229"/>
      <c r="O223" s="229"/>
      <c r="P223" s="229"/>
      <c r="Q223" s="229"/>
      <c r="R223" s="229"/>
      <c r="S223" s="229"/>
      <c r="T223" s="229"/>
      <c r="U223" s="229"/>
      <c r="V223" s="229"/>
    </row>
    <row r="224" spans="2:22" x14ac:dyDescent="0.65">
      <c r="B224" s="1604"/>
      <c r="C224" s="1605"/>
      <c r="D224" s="1589" t="s">
        <v>320</v>
      </c>
      <c r="E224" s="1590"/>
      <c r="F224" s="1591"/>
      <c r="G224" s="1619"/>
      <c r="H224" s="1620"/>
      <c r="I224" s="1623">
        <v>8.9999999999999993E-3</v>
      </c>
      <c r="J224" s="1624"/>
      <c r="K224" s="1623">
        <v>4.2999999999999997E-2</v>
      </c>
      <c r="L224" s="1624"/>
      <c r="M224" s="1625"/>
      <c r="N224" s="229"/>
      <c r="O224" s="229"/>
      <c r="P224" s="229"/>
      <c r="Q224" s="229"/>
      <c r="R224" s="229"/>
      <c r="S224" s="229"/>
      <c r="T224" s="229"/>
      <c r="U224" s="229"/>
      <c r="V224" s="229"/>
    </row>
    <row r="225" spans="2:22" x14ac:dyDescent="0.65">
      <c r="B225" s="1600" t="s">
        <v>324</v>
      </c>
      <c r="C225" s="1601"/>
      <c r="D225" s="1589" t="s">
        <v>316</v>
      </c>
      <c r="E225" s="1590"/>
      <c r="F225" s="1591"/>
      <c r="G225" s="1619"/>
      <c r="H225" s="1620"/>
      <c r="I225" s="1621">
        <v>0.10199999999999999</v>
      </c>
      <c r="J225" s="1622"/>
      <c r="K225" s="1621">
        <v>4.7E-2</v>
      </c>
      <c r="L225" s="1622"/>
      <c r="M225" s="1625"/>
      <c r="N225" s="229"/>
      <c r="O225" s="229"/>
      <c r="P225" s="229"/>
      <c r="Q225" s="229"/>
      <c r="R225" s="229"/>
      <c r="S225" s="229"/>
      <c r="T225" s="229"/>
      <c r="U225" s="229"/>
      <c r="V225" s="229"/>
    </row>
    <row r="226" spans="2:22" x14ac:dyDescent="0.65">
      <c r="B226" s="1602"/>
      <c r="C226" s="1603"/>
      <c r="D226" s="1589" t="s">
        <v>317</v>
      </c>
      <c r="E226" s="1590"/>
      <c r="F226" s="1591"/>
      <c r="G226" s="1619"/>
      <c r="H226" s="1620"/>
      <c r="I226" s="1621">
        <v>0.10199999999999999</v>
      </c>
      <c r="J226" s="1622"/>
      <c r="K226" s="1621">
        <v>4.7E-2</v>
      </c>
      <c r="L226" s="1622"/>
      <c r="M226" s="1625"/>
      <c r="N226" s="229"/>
      <c r="O226" s="229"/>
      <c r="P226" s="229"/>
      <c r="Q226" s="229"/>
      <c r="R226" s="229"/>
      <c r="S226" s="229"/>
      <c r="T226" s="229"/>
      <c r="U226" s="229"/>
      <c r="V226" s="229"/>
    </row>
    <row r="227" spans="2:22" x14ac:dyDescent="0.65">
      <c r="B227" s="1602"/>
      <c r="C227" s="1603"/>
      <c r="D227" s="1589" t="s">
        <v>318</v>
      </c>
      <c r="E227" s="1590"/>
      <c r="F227" s="1591"/>
      <c r="G227" s="1619"/>
      <c r="H227" s="1620"/>
      <c r="I227" s="1621">
        <v>2.7869999999999999</v>
      </c>
      <c r="J227" s="1622"/>
      <c r="K227" s="1623">
        <v>1E-3</v>
      </c>
      <c r="L227" s="1624"/>
      <c r="M227" s="1625"/>
      <c r="N227" s="229"/>
      <c r="O227" s="229"/>
      <c r="P227" s="229"/>
      <c r="Q227" s="229"/>
      <c r="R227" s="229"/>
      <c r="S227" s="229"/>
      <c r="T227" s="229"/>
      <c r="U227" s="229"/>
      <c r="V227" s="229"/>
    </row>
    <row r="228" spans="2:22" x14ac:dyDescent="0.65">
      <c r="B228" s="1602"/>
      <c r="C228" s="1603"/>
      <c r="D228" s="1589" t="s">
        <v>319</v>
      </c>
      <c r="E228" s="1590"/>
      <c r="F228" s="1591"/>
      <c r="G228" s="1619"/>
      <c r="H228" s="1620"/>
      <c r="I228" s="1621">
        <v>0.01</v>
      </c>
      <c r="J228" s="1622"/>
      <c r="K228" s="1621">
        <v>1.0999999999999999E-2</v>
      </c>
      <c r="L228" s="1622"/>
      <c r="M228" s="1625"/>
      <c r="N228" s="229"/>
      <c r="O228" s="229"/>
      <c r="P228" s="229"/>
      <c r="Q228" s="229"/>
      <c r="R228" s="229"/>
      <c r="S228" s="229"/>
      <c r="T228" s="229"/>
      <c r="U228" s="229"/>
      <c r="V228" s="229"/>
    </row>
    <row r="229" spans="2:22" x14ac:dyDescent="0.65">
      <c r="B229" s="1602"/>
      <c r="C229" s="1603"/>
      <c r="D229" s="1589" t="s">
        <v>321</v>
      </c>
      <c r="E229" s="1590"/>
      <c r="F229" s="1591"/>
      <c r="G229" s="1619"/>
      <c r="H229" s="1620"/>
      <c r="I229" s="1621">
        <v>2.7869999999999999</v>
      </c>
      <c r="J229" s="1622"/>
      <c r="K229" s="1623">
        <v>1E-3</v>
      </c>
      <c r="L229" s="1624"/>
      <c r="M229" s="1625"/>
      <c r="N229" s="229"/>
      <c r="O229" s="229"/>
      <c r="P229" s="229"/>
      <c r="Q229" s="229"/>
      <c r="R229" s="229"/>
      <c r="S229" s="229"/>
      <c r="T229" s="229"/>
      <c r="U229" s="229"/>
      <c r="V229" s="229"/>
    </row>
    <row r="230" spans="2:22" x14ac:dyDescent="0.65">
      <c r="B230" s="1604"/>
      <c r="C230" s="1605"/>
      <c r="D230" s="1589" t="s">
        <v>320</v>
      </c>
      <c r="E230" s="1590"/>
      <c r="F230" s="1591"/>
      <c r="G230" s="1619"/>
      <c r="H230" s="1620"/>
      <c r="I230" s="1623">
        <v>8.9999999999999993E-3</v>
      </c>
      <c r="J230" s="1624"/>
      <c r="K230" s="1623">
        <v>4.2999999999999997E-2</v>
      </c>
      <c r="L230" s="1624"/>
      <c r="M230" s="1625"/>
      <c r="N230" s="229"/>
      <c r="O230" s="229"/>
      <c r="P230" s="229"/>
      <c r="Q230" s="229"/>
      <c r="R230" s="229"/>
      <c r="S230" s="229"/>
      <c r="T230" s="229"/>
      <c r="U230" s="229"/>
      <c r="V230" s="229"/>
    </row>
    <row r="231" spans="2:22" x14ac:dyDescent="0.65">
      <c r="M231" s="1625"/>
      <c r="N231" s="229"/>
      <c r="O231" s="229"/>
      <c r="R231" s="229"/>
      <c r="S231" s="229"/>
      <c r="T231" s="229"/>
      <c r="U231" s="229"/>
      <c r="V231" s="229"/>
    </row>
    <row r="232" spans="2:22" ht="13.9" customHeight="1" x14ac:dyDescent="0.65">
      <c r="B232" s="223" t="s">
        <v>325</v>
      </c>
      <c r="C232" s="236" t="s">
        <v>326</v>
      </c>
      <c r="D232" s="237"/>
      <c r="E232" s="237"/>
      <c r="F232" s="237"/>
      <c r="G232" s="237"/>
      <c r="H232" s="237"/>
      <c r="I232" s="237"/>
      <c r="J232" s="237"/>
      <c r="K232" s="237"/>
      <c r="L232" s="237"/>
      <c r="M232" s="1625"/>
      <c r="N232" s="229"/>
      <c r="O232" s="229"/>
      <c r="P232" s="237"/>
      <c r="Q232" s="237"/>
      <c r="R232" s="229"/>
      <c r="S232" s="229"/>
      <c r="T232" s="229"/>
      <c r="U232" s="229"/>
      <c r="V232" s="229"/>
    </row>
    <row r="233" spans="2:22" x14ac:dyDescent="0.65">
      <c r="B233" s="1612" t="s">
        <v>277</v>
      </c>
      <c r="C233" s="1613"/>
      <c r="D233" s="1614" t="s">
        <v>123</v>
      </c>
      <c r="E233" s="1615"/>
      <c r="F233" s="1616"/>
      <c r="G233" s="1617" t="s">
        <v>327</v>
      </c>
      <c r="H233" s="1618"/>
      <c r="I233" s="1617" t="s">
        <v>328</v>
      </c>
      <c r="J233" s="1618"/>
      <c r="K233" s="231"/>
      <c r="L233" s="228"/>
      <c r="M233" s="1625"/>
      <c r="N233" s="229"/>
      <c r="O233" s="229"/>
      <c r="P233" s="229"/>
      <c r="Q233" s="229"/>
      <c r="R233" s="229"/>
      <c r="S233" s="229"/>
      <c r="T233" s="229"/>
      <c r="U233" s="229"/>
      <c r="V233" s="229"/>
    </row>
    <row r="234" spans="2:22" x14ac:dyDescent="0.65">
      <c r="B234" s="1594" t="s">
        <v>329</v>
      </c>
      <c r="C234" s="1595"/>
      <c r="D234" s="1589" t="s">
        <v>271</v>
      </c>
      <c r="E234" s="1590"/>
      <c r="F234" s="1591"/>
      <c r="G234" s="1608">
        <v>1.1100000000000001</v>
      </c>
      <c r="H234" s="1609"/>
      <c r="I234" s="1608">
        <v>0.32</v>
      </c>
      <c r="J234" s="1609"/>
      <c r="K234" s="231"/>
      <c r="L234" s="228"/>
      <c r="M234" s="1625"/>
      <c r="N234" s="229"/>
      <c r="O234" s="229"/>
      <c r="P234" s="229"/>
      <c r="Q234" s="229"/>
      <c r="R234" s="229"/>
      <c r="S234" s="229"/>
      <c r="T234" s="229"/>
      <c r="U234" s="229"/>
      <c r="V234" s="229"/>
    </row>
    <row r="235" spans="2:22" x14ac:dyDescent="0.65">
      <c r="B235" s="1596"/>
      <c r="C235" s="1597"/>
      <c r="D235" s="1589" t="s">
        <v>330</v>
      </c>
      <c r="E235" s="1590"/>
      <c r="F235" s="1591"/>
      <c r="G235" s="1592">
        <v>4.6100000000000003</v>
      </c>
      <c r="H235" s="1593"/>
      <c r="I235" s="1608">
        <v>0.08</v>
      </c>
      <c r="J235" s="1609"/>
      <c r="K235" s="231"/>
      <c r="L235" s="228"/>
      <c r="M235" s="1625"/>
      <c r="N235" s="229"/>
      <c r="O235" s="229"/>
      <c r="P235" s="229"/>
      <c r="Q235" s="229"/>
      <c r="R235" s="229"/>
      <c r="S235" s="229"/>
      <c r="T235" s="229"/>
      <c r="U235" s="229"/>
      <c r="V235" s="229"/>
    </row>
    <row r="236" spans="2:22" x14ac:dyDescent="0.65">
      <c r="B236" s="1596"/>
      <c r="C236" s="1597"/>
      <c r="D236" s="1589" t="s">
        <v>331</v>
      </c>
      <c r="E236" s="1590"/>
      <c r="F236" s="1591"/>
      <c r="G236" s="1592">
        <v>2.25</v>
      </c>
      <c r="H236" s="1593"/>
      <c r="I236" s="1608">
        <v>0.01</v>
      </c>
      <c r="J236" s="1609"/>
      <c r="K236" s="231"/>
      <c r="L236" s="228"/>
      <c r="M236" s="1625"/>
      <c r="N236" s="229"/>
      <c r="O236" s="229"/>
      <c r="P236" s="229"/>
      <c r="Q236" s="229"/>
      <c r="R236" s="229"/>
      <c r="S236" s="229"/>
      <c r="T236" s="229"/>
      <c r="U236" s="229"/>
      <c r="V236" s="229"/>
    </row>
    <row r="237" spans="2:22" x14ac:dyDescent="0.65">
      <c r="B237" s="1598"/>
      <c r="C237" s="1599"/>
      <c r="D237" s="1589" t="s">
        <v>308</v>
      </c>
      <c r="E237" s="1590"/>
      <c r="F237" s="1591"/>
      <c r="G237" s="1608">
        <v>6.41</v>
      </c>
      <c r="H237" s="1609"/>
      <c r="I237" s="1608">
        <v>0.17</v>
      </c>
      <c r="J237" s="1609"/>
      <c r="K237" s="231"/>
      <c r="L237" s="228"/>
      <c r="M237" s="1625"/>
      <c r="N237" s="229"/>
      <c r="O237" s="229"/>
      <c r="P237" s="229"/>
      <c r="Q237" s="229"/>
      <c r="R237" s="229"/>
      <c r="S237" s="229"/>
      <c r="T237" s="229"/>
      <c r="U237" s="229"/>
      <c r="V237" s="229"/>
    </row>
    <row r="238" spans="2:22" x14ac:dyDescent="0.65">
      <c r="B238" s="1589" t="s">
        <v>332</v>
      </c>
      <c r="C238" s="1591"/>
      <c r="D238" s="1589" t="s">
        <v>308</v>
      </c>
      <c r="E238" s="1590"/>
      <c r="F238" s="1591"/>
      <c r="G238" s="1608">
        <v>0.8</v>
      </c>
      <c r="H238" s="1609"/>
      <c r="I238" s="1608">
        <v>0.26</v>
      </c>
      <c r="J238" s="1609"/>
      <c r="K238" s="231"/>
      <c r="L238" s="228"/>
      <c r="M238" s="1625"/>
      <c r="N238" s="229"/>
      <c r="O238" s="229"/>
      <c r="P238" s="229"/>
      <c r="Q238" s="229"/>
    </row>
    <row r="239" spans="2:22" x14ac:dyDescent="0.65">
      <c r="B239" s="1594" t="s">
        <v>333</v>
      </c>
      <c r="C239" s="1595"/>
      <c r="D239" s="1589" t="s">
        <v>334</v>
      </c>
      <c r="E239" s="1590"/>
      <c r="F239" s="1591"/>
      <c r="G239" s="1610">
        <v>0</v>
      </c>
      <c r="H239" s="1611"/>
      <c r="I239" s="1608">
        <v>0.3</v>
      </c>
      <c r="J239" s="1609"/>
      <c r="K239" s="231"/>
      <c r="L239" s="228"/>
      <c r="M239" s="1625"/>
      <c r="N239" s="229"/>
      <c r="O239" s="229"/>
      <c r="P239" s="229"/>
      <c r="Q239" s="229"/>
      <c r="R239" s="237"/>
      <c r="S239" s="237"/>
      <c r="T239" s="237"/>
      <c r="U239" s="237"/>
      <c r="V239" s="238"/>
    </row>
    <row r="240" spans="2:22" x14ac:dyDescent="0.65">
      <c r="B240" s="1598"/>
      <c r="C240" s="1599"/>
      <c r="D240" s="1589" t="s">
        <v>176</v>
      </c>
      <c r="E240" s="1590"/>
      <c r="F240" s="1591"/>
      <c r="G240" s="1608">
        <v>7.06</v>
      </c>
      <c r="H240" s="1609"/>
      <c r="I240" s="1608">
        <v>0.11</v>
      </c>
      <c r="J240" s="1609"/>
      <c r="K240" s="231"/>
      <c r="L240" s="228"/>
      <c r="M240" s="1625"/>
      <c r="N240" s="229"/>
      <c r="O240" s="229"/>
      <c r="P240" s="229"/>
      <c r="Q240" s="229"/>
      <c r="R240" s="229"/>
      <c r="S240" s="229"/>
      <c r="T240" s="229"/>
      <c r="U240" s="229"/>
      <c r="V240" s="229"/>
    </row>
    <row r="241" spans="2:22" x14ac:dyDescent="0.65">
      <c r="B241" s="1600" t="s">
        <v>335</v>
      </c>
      <c r="C241" s="1601"/>
      <c r="D241" s="1589" t="s">
        <v>330</v>
      </c>
      <c r="E241" s="1590"/>
      <c r="F241" s="1591"/>
      <c r="G241" s="1592">
        <v>6.92</v>
      </c>
      <c r="H241" s="1593"/>
      <c r="I241" s="1592">
        <v>0.47</v>
      </c>
      <c r="J241" s="1593"/>
      <c r="K241" s="231"/>
      <c r="L241" s="228"/>
      <c r="M241" s="1625"/>
      <c r="N241" s="229"/>
      <c r="O241" s="229"/>
      <c r="P241" s="229"/>
      <c r="Q241" s="229"/>
      <c r="R241" s="229"/>
      <c r="S241" s="229"/>
      <c r="T241" s="229"/>
      <c r="U241" s="229"/>
      <c r="V241" s="229"/>
    </row>
    <row r="242" spans="2:22" x14ac:dyDescent="0.65">
      <c r="B242" s="1602"/>
      <c r="C242" s="1603"/>
      <c r="D242" s="1589" t="s">
        <v>331</v>
      </c>
      <c r="E242" s="1590"/>
      <c r="F242" s="1591"/>
      <c r="G242" s="1592">
        <v>1.93</v>
      </c>
      <c r="H242" s="1593"/>
      <c r="I242" s="1592">
        <v>1.2</v>
      </c>
      <c r="J242" s="1593"/>
      <c r="K242" s="231"/>
      <c r="L242" s="228"/>
      <c r="M242" s="1625"/>
      <c r="N242" s="229"/>
      <c r="O242" s="229"/>
      <c r="P242" s="229"/>
      <c r="Q242" s="229"/>
      <c r="R242" s="229"/>
      <c r="S242" s="229"/>
      <c r="T242" s="229"/>
      <c r="U242" s="229"/>
      <c r="V242" s="229"/>
    </row>
    <row r="243" spans="2:22" x14ac:dyDescent="0.65">
      <c r="B243" s="1602"/>
      <c r="C243" s="1603"/>
      <c r="D243" s="1589" t="s">
        <v>336</v>
      </c>
      <c r="E243" s="1590"/>
      <c r="F243" s="1591"/>
      <c r="G243" s="1592">
        <v>1.93</v>
      </c>
      <c r="H243" s="1593"/>
      <c r="I243" s="1592">
        <v>1.2</v>
      </c>
      <c r="J243" s="1593"/>
      <c r="K243" s="231"/>
      <c r="L243" s="228"/>
      <c r="M243" s="1625"/>
      <c r="N243" s="229"/>
      <c r="O243" s="229"/>
      <c r="P243" s="229"/>
      <c r="Q243" s="229"/>
      <c r="R243" s="229"/>
      <c r="S243" s="229"/>
      <c r="T243" s="229"/>
      <c r="U243" s="229"/>
      <c r="V243" s="229"/>
    </row>
    <row r="244" spans="2:22" x14ac:dyDescent="0.65">
      <c r="B244" s="1602"/>
      <c r="C244" s="1603"/>
      <c r="D244" s="1589" t="s">
        <v>337</v>
      </c>
      <c r="E244" s="1590"/>
      <c r="F244" s="1591"/>
      <c r="G244" s="1592">
        <v>1.27</v>
      </c>
      <c r="H244" s="1593"/>
      <c r="I244" s="1592">
        <v>1.07</v>
      </c>
      <c r="J244" s="1593"/>
      <c r="K244" s="231"/>
      <c r="L244" s="228"/>
      <c r="M244" s="1625"/>
      <c r="N244" s="229"/>
      <c r="O244" s="229"/>
      <c r="P244" s="229"/>
      <c r="Q244" s="229"/>
      <c r="R244" s="229"/>
      <c r="S244" s="229"/>
      <c r="T244" s="229"/>
      <c r="U244" s="229"/>
      <c r="V244" s="229"/>
    </row>
    <row r="245" spans="2:22" x14ac:dyDescent="0.65">
      <c r="B245" s="1602"/>
      <c r="C245" s="1603"/>
      <c r="D245" s="1589" t="s">
        <v>338</v>
      </c>
      <c r="E245" s="1590"/>
      <c r="F245" s="1591"/>
      <c r="G245" s="1592">
        <v>0.91</v>
      </c>
      <c r="H245" s="1593"/>
      <c r="I245" s="1592">
        <v>0.56000000000000005</v>
      </c>
      <c r="J245" s="1593"/>
      <c r="K245" s="231"/>
      <c r="L245" s="228"/>
      <c r="M245" s="1625"/>
      <c r="N245" s="229"/>
      <c r="O245" s="229"/>
      <c r="P245" s="229"/>
      <c r="Q245" s="229"/>
      <c r="R245" s="229"/>
      <c r="S245" s="229"/>
      <c r="T245" s="229"/>
      <c r="U245" s="229"/>
      <c r="V245" s="229"/>
    </row>
    <row r="246" spans="2:22" x14ac:dyDescent="0.65">
      <c r="B246" s="1604"/>
      <c r="C246" s="1605"/>
      <c r="D246" s="1589" t="s">
        <v>319</v>
      </c>
      <c r="E246" s="1590"/>
      <c r="F246" s="1591"/>
      <c r="G246" s="1592">
        <v>0.33</v>
      </c>
      <c r="H246" s="1593"/>
      <c r="I246" s="1592">
        <v>0.94</v>
      </c>
      <c r="J246" s="1593"/>
      <c r="K246" s="231"/>
      <c r="L246" s="228"/>
      <c r="M246" s="1625"/>
      <c r="N246" s="229"/>
      <c r="O246" s="229"/>
      <c r="P246" s="229"/>
      <c r="Q246" s="229"/>
      <c r="R246" s="229"/>
      <c r="S246" s="229"/>
      <c r="T246" s="229"/>
      <c r="U246" s="229"/>
      <c r="V246" s="229"/>
    </row>
    <row r="247" spans="2:22" x14ac:dyDescent="0.65">
      <c r="B247" s="1600" t="s">
        <v>339</v>
      </c>
      <c r="C247" s="1601"/>
      <c r="D247" s="1589" t="s">
        <v>330</v>
      </c>
      <c r="E247" s="1590"/>
      <c r="F247" s="1591"/>
      <c r="G247" s="1592">
        <v>7.98</v>
      </c>
      <c r="H247" s="1593"/>
      <c r="I247" s="1592">
        <v>0.12</v>
      </c>
      <c r="J247" s="1593"/>
      <c r="K247" s="231"/>
      <c r="L247" s="228"/>
      <c r="M247" s="1625"/>
      <c r="N247" s="229"/>
      <c r="O247" s="229"/>
      <c r="P247" s="229"/>
      <c r="Q247" s="229"/>
      <c r="R247" s="229"/>
      <c r="S247" s="229"/>
      <c r="T247" s="229"/>
      <c r="U247" s="229"/>
      <c r="V247" s="229"/>
    </row>
    <row r="248" spans="2:22" x14ac:dyDescent="0.65">
      <c r="B248" s="1602"/>
      <c r="C248" s="1603"/>
      <c r="D248" s="1589" t="s">
        <v>331</v>
      </c>
      <c r="E248" s="1590"/>
      <c r="F248" s="1591"/>
      <c r="G248" s="1592">
        <v>2.85</v>
      </c>
      <c r="H248" s="1593"/>
      <c r="I248" s="1592">
        <v>1.47</v>
      </c>
      <c r="J248" s="1593"/>
      <c r="K248" s="231"/>
      <c r="L248" s="228"/>
      <c r="M248" s="1625"/>
      <c r="N248" s="229"/>
      <c r="O248" s="229"/>
      <c r="P248" s="229"/>
      <c r="Q248" s="229"/>
      <c r="R248" s="229"/>
      <c r="S248" s="229"/>
      <c r="T248" s="229"/>
      <c r="U248" s="229"/>
      <c r="V248" s="229"/>
    </row>
    <row r="249" spans="2:22" x14ac:dyDescent="0.65">
      <c r="B249" s="1602"/>
      <c r="C249" s="1603"/>
      <c r="D249" s="1589" t="s">
        <v>336</v>
      </c>
      <c r="E249" s="1590"/>
      <c r="F249" s="1591"/>
      <c r="G249" s="1592">
        <v>2.85</v>
      </c>
      <c r="H249" s="1593"/>
      <c r="I249" s="1592">
        <v>1.48</v>
      </c>
      <c r="J249" s="1593"/>
      <c r="K249" s="231"/>
      <c r="L249" s="228"/>
      <c r="M249" s="1625"/>
      <c r="N249" s="229"/>
      <c r="O249" s="229"/>
      <c r="P249" s="229"/>
      <c r="Q249" s="229"/>
      <c r="R249" s="229"/>
      <c r="S249" s="229"/>
      <c r="T249" s="229"/>
      <c r="U249" s="229"/>
      <c r="V249" s="229"/>
    </row>
    <row r="250" spans="2:22" x14ac:dyDescent="0.65">
      <c r="B250" s="1602"/>
      <c r="C250" s="1603"/>
      <c r="D250" s="1589" t="s">
        <v>337</v>
      </c>
      <c r="E250" s="1590"/>
      <c r="F250" s="1591"/>
      <c r="G250" s="1592">
        <v>1.01</v>
      </c>
      <c r="H250" s="1593"/>
      <c r="I250" s="1592">
        <v>0.94</v>
      </c>
      <c r="J250" s="1593"/>
      <c r="K250" s="231"/>
      <c r="L250" s="228"/>
      <c r="M250" s="1625"/>
      <c r="N250" s="229"/>
      <c r="O250" s="229"/>
      <c r="P250" s="229"/>
      <c r="Q250" s="229"/>
      <c r="R250" s="229"/>
      <c r="S250" s="229"/>
      <c r="T250" s="229"/>
      <c r="U250" s="229"/>
      <c r="V250" s="229"/>
    </row>
    <row r="251" spans="2:22" x14ac:dyDescent="0.65">
      <c r="B251" s="1602"/>
      <c r="C251" s="1603"/>
      <c r="D251" s="1589" t="s">
        <v>338</v>
      </c>
      <c r="E251" s="1590"/>
      <c r="F251" s="1591"/>
      <c r="G251" s="1592">
        <v>0.91</v>
      </c>
      <c r="H251" s="1593"/>
      <c r="I251" s="1592">
        <v>0.56000000000000005</v>
      </c>
      <c r="J251" s="1593"/>
      <c r="K251" s="231"/>
      <c r="L251" s="228"/>
      <c r="M251" s="1625"/>
      <c r="N251" s="229"/>
      <c r="O251" s="229"/>
      <c r="P251" s="229"/>
      <c r="Q251" s="229"/>
      <c r="R251" s="229"/>
      <c r="S251" s="229"/>
      <c r="T251" s="229"/>
      <c r="U251" s="229"/>
      <c r="V251" s="229"/>
    </row>
    <row r="252" spans="2:22" x14ac:dyDescent="0.65">
      <c r="B252" s="1604"/>
      <c r="C252" s="1605"/>
      <c r="D252" s="1589" t="s">
        <v>319</v>
      </c>
      <c r="E252" s="1590"/>
      <c r="F252" s="1591"/>
      <c r="G252" s="1592">
        <v>0.59</v>
      </c>
      <c r="H252" s="1593"/>
      <c r="I252" s="1592">
        <v>0.5</v>
      </c>
      <c r="J252" s="1593"/>
      <c r="K252" s="231"/>
      <c r="L252" s="228"/>
      <c r="M252" s="1625"/>
      <c r="N252" s="229"/>
      <c r="O252" s="229"/>
      <c r="P252" s="229"/>
      <c r="Q252" s="229"/>
      <c r="R252" s="229"/>
      <c r="S252" s="229"/>
      <c r="T252" s="229"/>
      <c r="U252" s="229"/>
      <c r="V252" s="229"/>
    </row>
    <row r="253" spans="2:22" x14ac:dyDescent="0.65">
      <c r="B253" s="1594" t="s">
        <v>340</v>
      </c>
      <c r="C253" s="1595"/>
      <c r="D253" s="1589" t="s">
        <v>330</v>
      </c>
      <c r="E253" s="1590"/>
      <c r="F253" s="1591"/>
      <c r="G253" s="1592">
        <v>7.28</v>
      </c>
      <c r="H253" s="1593"/>
      <c r="I253" s="1592">
        <v>0.31</v>
      </c>
      <c r="J253" s="1593"/>
      <c r="K253" s="231"/>
      <c r="L253" s="228"/>
      <c r="P253" s="229"/>
      <c r="Q253" s="229"/>
      <c r="R253" s="229"/>
      <c r="S253" s="229"/>
      <c r="T253" s="229"/>
      <c r="U253" s="229"/>
      <c r="V253" s="229"/>
    </row>
    <row r="254" spans="2:22" x14ac:dyDescent="0.65">
      <c r="B254" s="1596"/>
      <c r="C254" s="1597"/>
      <c r="D254" s="1589" t="s">
        <v>331</v>
      </c>
      <c r="E254" s="1590"/>
      <c r="F254" s="1591"/>
      <c r="G254" s="1592">
        <v>2.99</v>
      </c>
      <c r="H254" s="1593"/>
      <c r="I254" s="1592">
        <v>1.49</v>
      </c>
      <c r="J254" s="1593"/>
      <c r="K254" s="231"/>
      <c r="L254" s="228"/>
      <c r="M254" s="237"/>
      <c r="N254" s="237"/>
      <c r="O254" s="237"/>
      <c r="P254" s="229"/>
      <c r="Q254" s="229"/>
      <c r="R254" s="229"/>
      <c r="S254" s="229"/>
      <c r="T254" s="229"/>
      <c r="U254" s="229"/>
      <c r="V254" s="229"/>
    </row>
    <row r="255" spans="2:22" x14ac:dyDescent="0.65">
      <c r="B255" s="1596"/>
      <c r="C255" s="1597"/>
      <c r="D255" s="1589" t="s">
        <v>308</v>
      </c>
      <c r="E255" s="1590"/>
      <c r="F255" s="1591"/>
      <c r="G255" s="1592">
        <v>0.67</v>
      </c>
      <c r="H255" s="1593"/>
      <c r="I255" s="1592">
        <v>0.49</v>
      </c>
      <c r="J255" s="1593"/>
      <c r="K255" s="231"/>
      <c r="L255" s="228"/>
      <c r="M255" s="228"/>
      <c r="N255" s="229"/>
      <c r="O255" s="229"/>
      <c r="P255" s="229"/>
      <c r="Q255" s="229"/>
      <c r="R255" s="229"/>
      <c r="S255" s="229"/>
      <c r="T255" s="229"/>
      <c r="U255" s="229"/>
      <c r="V255" s="229"/>
    </row>
    <row r="256" spans="2:22" x14ac:dyDescent="0.65">
      <c r="B256" s="1598"/>
      <c r="C256" s="1599"/>
      <c r="D256" s="1589" t="s">
        <v>319</v>
      </c>
      <c r="E256" s="1590"/>
      <c r="F256" s="1591"/>
      <c r="G256" s="1592">
        <v>0.41</v>
      </c>
      <c r="H256" s="1593"/>
      <c r="I256" s="1592">
        <v>0.63</v>
      </c>
      <c r="J256" s="1593"/>
      <c r="K256" s="231"/>
      <c r="L256" s="228"/>
      <c r="M256" s="228"/>
      <c r="N256" s="229"/>
      <c r="O256" s="229"/>
      <c r="P256" s="229"/>
      <c r="Q256" s="229"/>
      <c r="R256" s="229"/>
      <c r="S256" s="229"/>
      <c r="T256" s="229"/>
      <c r="U256" s="229"/>
      <c r="V256" s="229"/>
    </row>
    <row r="257" spans="2:22" x14ac:dyDescent="0.65">
      <c r="B257" s="1600" t="s">
        <v>341</v>
      </c>
      <c r="C257" s="1601"/>
      <c r="D257" s="1589" t="s">
        <v>342</v>
      </c>
      <c r="E257" s="1590"/>
      <c r="F257" s="1591"/>
      <c r="G257" s="1592">
        <v>1.03</v>
      </c>
      <c r="H257" s="1593"/>
      <c r="I257" s="1592">
        <v>1.07</v>
      </c>
      <c r="J257" s="1593"/>
      <c r="K257" s="231"/>
      <c r="L257" s="228"/>
      <c r="M257" s="228"/>
      <c r="N257" s="229"/>
      <c r="O257" s="229"/>
      <c r="P257" s="229"/>
      <c r="Q257" s="229"/>
      <c r="R257" s="229"/>
      <c r="S257" s="229"/>
      <c r="T257" s="229"/>
      <c r="U257" s="229"/>
      <c r="V257" s="229"/>
    </row>
    <row r="258" spans="2:22" x14ac:dyDescent="0.65">
      <c r="B258" s="1602"/>
      <c r="C258" s="1603"/>
      <c r="D258" s="1589" t="s">
        <v>308</v>
      </c>
      <c r="E258" s="1590"/>
      <c r="F258" s="1591"/>
      <c r="G258" s="1592">
        <v>1.88</v>
      </c>
      <c r="H258" s="1593"/>
      <c r="I258" s="1592">
        <v>1.1599999999999999</v>
      </c>
      <c r="J258" s="1593"/>
      <c r="K258" s="231"/>
      <c r="L258" s="228"/>
      <c r="M258" s="228"/>
      <c r="N258" s="229"/>
      <c r="O258" s="229"/>
      <c r="P258" s="229"/>
      <c r="Q258" s="229"/>
      <c r="R258" s="229"/>
      <c r="S258" s="229"/>
      <c r="T258" s="229"/>
      <c r="U258" s="229"/>
      <c r="V258" s="229"/>
    </row>
    <row r="259" spans="2:22" x14ac:dyDescent="0.65">
      <c r="B259" s="1604"/>
      <c r="C259" s="1605"/>
      <c r="D259" s="1589" t="s">
        <v>319</v>
      </c>
      <c r="E259" s="1590"/>
      <c r="F259" s="1591"/>
      <c r="G259" s="1592">
        <v>0.35</v>
      </c>
      <c r="H259" s="1593"/>
      <c r="I259" s="1592">
        <v>0.89</v>
      </c>
      <c r="J259" s="1593"/>
      <c r="K259" s="231"/>
      <c r="L259" s="228"/>
      <c r="M259" s="228"/>
      <c r="N259" s="229"/>
      <c r="O259" s="229"/>
      <c r="P259" s="229"/>
      <c r="Q259" s="229"/>
      <c r="R259" s="229"/>
      <c r="S259" s="229"/>
      <c r="T259" s="229"/>
      <c r="U259" s="229"/>
      <c r="V259" s="229"/>
    </row>
    <row r="260" spans="2:22" x14ac:dyDescent="0.65">
      <c r="B260" s="1594" t="s">
        <v>343</v>
      </c>
      <c r="C260" s="1595"/>
      <c r="D260" s="1589" t="s">
        <v>330</v>
      </c>
      <c r="E260" s="1590"/>
      <c r="F260" s="1591"/>
      <c r="G260" s="1592">
        <v>7.12</v>
      </c>
      <c r="H260" s="1593"/>
      <c r="I260" s="1592">
        <v>0.5</v>
      </c>
      <c r="J260" s="1593"/>
      <c r="K260" s="231"/>
      <c r="L260" s="228"/>
      <c r="M260" s="228"/>
      <c r="N260" s="229"/>
      <c r="O260" s="229"/>
      <c r="P260" s="229"/>
      <c r="Q260" s="229"/>
      <c r="R260" s="229"/>
      <c r="S260" s="229"/>
      <c r="T260" s="229"/>
      <c r="U260" s="229"/>
      <c r="V260" s="229"/>
    </row>
    <row r="261" spans="2:22" x14ac:dyDescent="0.65">
      <c r="B261" s="1596"/>
      <c r="C261" s="1597"/>
      <c r="D261" s="1589" t="s">
        <v>331</v>
      </c>
      <c r="E261" s="1590"/>
      <c r="F261" s="1591"/>
      <c r="G261" s="1592">
        <v>2.74</v>
      </c>
      <c r="H261" s="1593"/>
      <c r="I261" s="1592">
        <v>1.54</v>
      </c>
      <c r="J261" s="1593"/>
      <c r="K261" s="231"/>
      <c r="L261" s="228"/>
      <c r="M261" s="228"/>
      <c r="N261" s="229"/>
      <c r="O261" s="229"/>
      <c r="P261" s="229"/>
      <c r="Q261" s="229"/>
      <c r="R261" s="229"/>
      <c r="S261" s="229"/>
      <c r="T261" s="229"/>
      <c r="U261" s="229"/>
      <c r="V261" s="229"/>
    </row>
    <row r="262" spans="2:22" x14ac:dyDescent="0.65">
      <c r="B262" s="1596"/>
      <c r="C262" s="1597"/>
      <c r="D262" s="1589" t="s">
        <v>308</v>
      </c>
      <c r="E262" s="1590"/>
      <c r="F262" s="1591"/>
      <c r="G262" s="1592">
        <v>0.41</v>
      </c>
      <c r="H262" s="1593"/>
      <c r="I262" s="1592">
        <v>0.6</v>
      </c>
      <c r="J262" s="1593"/>
      <c r="K262" s="231"/>
      <c r="L262" s="228"/>
      <c r="M262" s="228"/>
      <c r="N262" s="229"/>
      <c r="O262" s="229"/>
      <c r="P262" s="229"/>
      <c r="Q262" s="229"/>
      <c r="R262" s="229"/>
      <c r="S262" s="229"/>
      <c r="T262" s="229"/>
      <c r="U262" s="229"/>
      <c r="V262" s="229"/>
    </row>
    <row r="263" spans="2:22" x14ac:dyDescent="0.65">
      <c r="B263" s="1598"/>
      <c r="C263" s="1599"/>
      <c r="D263" s="1589" t="s">
        <v>319</v>
      </c>
      <c r="E263" s="1590"/>
      <c r="F263" s="1591"/>
      <c r="G263" s="1608">
        <v>0.45</v>
      </c>
      <c r="H263" s="1609"/>
      <c r="I263" s="1608">
        <v>0.64</v>
      </c>
      <c r="J263" s="1609"/>
      <c r="K263" s="231"/>
      <c r="L263" s="228"/>
      <c r="M263" s="228"/>
      <c r="N263" s="229"/>
      <c r="O263" s="229"/>
      <c r="P263" s="229"/>
      <c r="Q263" s="229"/>
      <c r="R263" s="229"/>
      <c r="S263" s="229"/>
      <c r="T263" s="229"/>
      <c r="U263" s="229"/>
      <c r="V263" s="229"/>
    </row>
    <row r="264" spans="2:22" x14ac:dyDescent="0.65">
      <c r="B264" s="1600" t="s">
        <v>344</v>
      </c>
      <c r="C264" s="1601"/>
      <c r="D264" s="1589" t="s">
        <v>330</v>
      </c>
      <c r="E264" s="1590"/>
      <c r="F264" s="1591"/>
      <c r="G264" s="1592">
        <v>9.68</v>
      </c>
      <c r="H264" s="1593"/>
      <c r="I264" s="1606">
        <v>0</v>
      </c>
      <c r="J264" s="1607"/>
      <c r="K264" s="231"/>
      <c r="L264" s="228"/>
      <c r="M264" s="228"/>
      <c r="N264" s="229"/>
      <c r="O264" s="229"/>
      <c r="P264" s="229"/>
      <c r="Q264" s="229"/>
      <c r="R264" s="229"/>
      <c r="S264" s="229"/>
      <c r="T264" s="229"/>
      <c r="U264" s="229"/>
      <c r="V264" s="229"/>
    </row>
    <row r="265" spans="2:22" x14ac:dyDescent="0.65">
      <c r="B265" s="1602"/>
      <c r="C265" s="1603"/>
      <c r="D265" s="1589" t="s">
        <v>331</v>
      </c>
      <c r="E265" s="1590"/>
      <c r="F265" s="1591"/>
      <c r="G265" s="1592">
        <v>3.24</v>
      </c>
      <c r="H265" s="1593"/>
      <c r="I265" s="1592">
        <v>2.0499999999999998</v>
      </c>
      <c r="J265" s="1593"/>
      <c r="K265" s="231"/>
      <c r="L265" s="228"/>
      <c r="M265" s="228"/>
      <c r="N265" s="229"/>
      <c r="O265" s="229"/>
      <c r="P265" s="229"/>
      <c r="Q265" s="229"/>
      <c r="R265" s="229"/>
      <c r="S265" s="229"/>
      <c r="T265" s="229"/>
      <c r="U265" s="229"/>
      <c r="V265" s="229"/>
    </row>
    <row r="266" spans="2:22" x14ac:dyDescent="0.65">
      <c r="B266" s="1604"/>
      <c r="C266" s="1605"/>
      <c r="D266" s="1589" t="s">
        <v>308</v>
      </c>
      <c r="E266" s="1590"/>
      <c r="F266" s="1591"/>
      <c r="G266" s="1592">
        <v>0.48</v>
      </c>
      <c r="H266" s="1593"/>
      <c r="I266" s="1592">
        <v>1.27</v>
      </c>
      <c r="J266" s="1593"/>
      <c r="K266" s="231"/>
      <c r="L266" s="228"/>
      <c r="M266" s="228"/>
      <c r="N266" s="229"/>
      <c r="O266" s="229"/>
      <c r="P266" s="229"/>
      <c r="Q266" s="229"/>
      <c r="R266" s="229"/>
      <c r="S266" s="229"/>
      <c r="T266" s="229"/>
      <c r="U266" s="229"/>
      <c r="V266" s="229"/>
    </row>
    <row r="267" spans="2:22" x14ac:dyDescent="0.65">
      <c r="B267" s="1600" t="s">
        <v>345</v>
      </c>
      <c r="C267" s="1601"/>
      <c r="D267" s="1589" t="s">
        <v>342</v>
      </c>
      <c r="E267" s="1590"/>
      <c r="F267" s="1591"/>
      <c r="G267" s="1592">
        <v>3.24</v>
      </c>
      <c r="H267" s="1593"/>
      <c r="I267" s="1592">
        <v>1.81</v>
      </c>
      <c r="J267" s="1593"/>
      <c r="K267" s="231"/>
      <c r="L267" s="228"/>
      <c r="M267" s="228"/>
      <c r="N267" s="229"/>
      <c r="O267" s="229"/>
      <c r="P267" s="229"/>
      <c r="Q267" s="229"/>
      <c r="R267" s="229"/>
      <c r="S267" s="229"/>
      <c r="T267" s="229"/>
      <c r="U267" s="229"/>
      <c r="V267" s="229"/>
    </row>
    <row r="268" spans="2:22" x14ac:dyDescent="0.65">
      <c r="B268" s="1602"/>
      <c r="C268" s="1603"/>
      <c r="D268" s="1589" t="s">
        <v>308</v>
      </c>
      <c r="E268" s="1590"/>
      <c r="F268" s="1591"/>
      <c r="G268" s="1592">
        <v>0.38</v>
      </c>
      <c r="H268" s="1593"/>
      <c r="I268" s="1592">
        <v>0.95</v>
      </c>
      <c r="J268" s="1593"/>
      <c r="K268" s="231"/>
      <c r="L268" s="228"/>
      <c r="M268" s="228"/>
      <c r="N268" s="229"/>
      <c r="O268" s="229"/>
      <c r="P268" s="229"/>
      <c r="Q268" s="229"/>
      <c r="R268" s="229"/>
      <c r="S268" s="229"/>
      <c r="T268" s="229"/>
      <c r="U268" s="229"/>
      <c r="V268" s="229"/>
    </row>
    <row r="269" spans="2:22" x14ac:dyDescent="0.65">
      <c r="B269" s="1604"/>
      <c r="C269" s="1605"/>
      <c r="D269" s="1589" t="s">
        <v>319</v>
      </c>
      <c r="E269" s="1590"/>
      <c r="F269" s="1591"/>
      <c r="G269" s="1592">
        <v>1.99</v>
      </c>
      <c r="H269" s="1593"/>
      <c r="I269" s="1592">
        <v>0.01</v>
      </c>
      <c r="J269" s="1593"/>
      <c r="K269" s="231"/>
      <c r="L269" s="228"/>
      <c r="M269" s="228"/>
      <c r="N269" s="229"/>
      <c r="O269" s="229"/>
      <c r="P269" s="229"/>
      <c r="Q269" s="229"/>
      <c r="R269" s="229"/>
      <c r="S269" s="229"/>
      <c r="T269" s="229"/>
      <c r="U269" s="229"/>
      <c r="V269" s="229"/>
    </row>
    <row r="270" spans="2:22" x14ac:dyDescent="0.65">
      <c r="B270" s="1594" t="s">
        <v>346</v>
      </c>
      <c r="C270" s="1595"/>
      <c r="D270" s="1589" t="s">
        <v>330</v>
      </c>
      <c r="E270" s="1590"/>
      <c r="F270" s="1591"/>
      <c r="G270" s="1592">
        <v>17.61</v>
      </c>
      <c r="H270" s="1593"/>
      <c r="I270" s="1592">
        <v>0.11</v>
      </c>
      <c r="J270" s="1593"/>
      <c r="K270" s="231"/>
      <c r="L270" s="228"/>
      <c r="M270" s="228"/>
      <c r="N270" s="229"/>
      <c r="O270" s="229"/>
      <c r="P270" s="229"/>
      <c r="Q270" s="229"/>
      <c r="R270" s="229"/>
      <c r="S270" s="229"/>
      <c r="T270" s="229"/>
      <c r="U270" s="229"/>
      <c r="V270" s="229"/>
    </row>
    <row r="271" spans="2:22" x14ac:dyDescent="0.65">
      <c r="B271" s="1596"/>
      <c r="C271" s="1597"/>
      <c r="D271" s="1589" t="s">
        <v>331</v>
      </c>
      <c r="E271" s="1590"/>
      <c r="F271" s="1591"/>
      <c r="G271" s="1592">
        <v>2.87</v>
      </c>
      <c r="H271" s="1593"/>
      <c r="I271" s="1592">
        <v>1.5</v>
      </c>
      <c r="J271" s="1593"/>
      <c r="K271" s="231"/>
      <c r="L271" s="228"/>
      <c r="M271" s="228"/>
      <c r="N271" s="229"/>
      <c r="O271" s="229"/>
      <c r="P271" s="229"/>
      <c r="Q271" s="229"/>
      <c r="R271" s="229"/>
      <c r="S271" s="229"/>
      <c r="T271" s="229"/>
      <c r="U271" s="229"/>
      <c r="V271" s="229"/>
    </row>
    <row r="272" spans="2:22" x14ac:dyDescent="0.65">
      <c r="B272" s="1596"/>
      <c r="C272" s="1597"/>
      <c r="D272" s="1589" t="s">
        <v>308</v>
      </c>
      <c r="E272" s="1590"/>
      <c r="F272" s="1591"/>
      <c r="G272" s="1592">
        <v>0.73</v>
      </c>
      <c r="H272" s="1593"/>
      <c r="I272" s="1592">
        <v>0.66</v>
      </c>
      <c r="J272" s="1593"/>
      <c r="K272" s="231"/>
      <c r="L272" s="228"/>
      <c r="M272" s="228"/>
      <c r="N272" s="229"/>
      <c r="O272" s="229"/>
      <c r="P272" s="229"/>
      <c r="Q272" s="229"/>
      <c r="R272" s="229"/>
      <c r="S272" s="229"/>
      <c r="T272" s="229"/>
      <c r="U272" s="229"/>
      <c r="V272" s="229"/>
    </row>
    <row r="273" spans="2:22" x14ac:dyDescent="0.65">
      <c r="B273" s="1598"/>
      <c r="C273" s="1599"/>
      <c r="D273" s="1589" t="s">
        <v>319</v>
      </c>
      <c r="E273" s="1590"/>
      <c r="F273" s="1591"/>
      <c r="G273" s="1592">
        <v>0.43</v>
      </c>
      <c r="H273" s="1593"/>
      <c r="I273" s="1592">
        <v>0.6</v>
      </c>
      <c r="J273" s="1593"/>
      <c r="K273" s="231"/>
      <c r="L273" s="228"/>
      <c r="M273" s="228"/>
      <c r="N273" s="229"/>
      <c r="O273" s="229"/>
      <c r="P273" s="229"/>
      <c r="Q273" s="229"/>
      <c r="R273" s="229"/>
      <c r="S273" s="229"/>
      <c r="T273" s="229"/>
      <c r="U273" s="229"/>
      <c r="V273" s="229"/>
    </row>
    <row r="274" spans="2:22" x14ac:dyDescent="0.65">
      <c r="M274" s="228"/>
      <c r="N274" s="229"/>
      <c r="O274" s="229"/>
      <c r="R274" s="229"/>
      <c r="S274" s="229"/>
      <c r="T274" s="229"/>
      <c r="U274" s="229"/>
      <c r="V274" s="229"/>
    </row>
    <row r="275" spans="2:22" x14ac:dyDescent="0.65">
      <c r="M275" s="228"/>
      <c r="N275" s="229"/>
      <c r="O275" s="229"/>
      <c r="R275" s="229"/>
      <c r="S275" s="229"/>
      <c r="T275" s="229"/>
      <c r="U275" s="229"/>
      <c r="V275" s="229"/>
    </row>
    <row r="276" spans="2:22" x14ac:dyDescent="0.65">
      <c r="M276" s="228"/>
      <c r="N276" s="229"/>
      <c r="O276" s="229"/>
      <c r="R276" s="229"/>
      <c r="S276" s="229"/>
      <c r="T276" s="229"/>
      <c r="U276" s="229"/>
      <c r="V276" s="229"/>
    </row>
    <row r="277" spans="2:22" x14ac:dyDescent="0.65">
      <c r="M277" s="228"/>
      <c r="N277" s="229"/>
      <c r="O277" s="229"/>
      <c r="R277" s="229"/>
      <c r="S277" s="229"/>
      <c r="T277" s="229"/>
      <c r="U277" s="229"/>
      <c r="V277" s="229"/>
    </row>
    <row r="278" spans="2:22" x14ac:dyDescent="0.65">
      <c r="M278" s="228"/>
      <c r="N278" s="229"/>
      <c r="O278" s="229"/>
      <c r="R278" s="229"/>
      <c r="S278" s="229"/>
      <c r="T278" s="229"/>
      <c r="U278" s="229"/>
      <c r="V278" s="229"/>
    </row>
    <row r="279" spans="2:22" x14ac:dyDescent="0.65">
      <c r="M279" s="228"/>
      <c r="N279" s="229"/>
      <c r="O279" s="229"/>
      <c r="R279" s="229"/>
      <c r="S279" s="229"/>
      <c r="T279" s="229"/>
      <c r="U279" s="229"/>
      <c r="V279" s="229"/>
    </row>
    <row r="280" spans="2:22" x14ac:dyDescent="0.65">
      <c r="M280" s="228"/>
      <c r="N280" s="229"/>
      <c r="O280" s="229"/>
      <c r="R280" s="229"/>
      <c r="S280" s="229"/>
      <c r="T280" s="229"/>
      <c r="U280" s="229"/>
      <c r="V280" s="229"/>
    </row>
    <row r="281" spans="2:22" x14ac:dyDescent="0.65">
      <c r="M281" s="228"/>
      <c r="N281" s="229"/>
      <c r="O281" s="229"/>
    </row>
    <row r="282" spans="2:22" x14ac:dyDescent="0.65">
      <c r="M282" s="228"/>
      <c r="N282" s="229"/>
      <c r="O282" s="229"/>
    </row>
    <row r="283" spans="2:22" x14ac:dyDescent="0.65">
      <c r="M283" s="228"/>
      <c r="N283" s="229"/>
      <c r="O283" s="229"/>
    </row>
    <row r="284" spans="2:22" x14ac:dyDescent="0.65">
      <c r="M284" s="228"/>
      <c r="N284" s="229"/>
      <c r="O284" s="229"/>
    </row>
    <row r="285" spans="2:22" x14ac:dyDescent="0.65">
      <c r="M285" s="228"/>
      <c r="N285" s="229"/>
      <c r="O285" s="229"/>
    </row>
    <row r="286" spans="2:22" x14ac:dyDescent="0.65">
      <c r="M286" s="228"/>
      <c r="N286" s="229"/>
      <c r="O286" s="229"/>
    </row>
    <row r="287" spans="2:22" x14ac:dyDescent="0.65">
      <c r="M287" s="228"/>
      <c r="N287" s="229"/>
      <c r="O287" s="229"/>
    </row>
    <row r="288" spans="2:22" x14ac:dyDescent="0.65">
      <c r="M288" s="228"/>
      <c r="N288" s="229"/>
      <c r="O288" s="229"/>
    </row>
    <row r="289" spans="13:15" x14ac:dyDescent="0.65">
      <c r="M289" s="228"/>
      <c r="N289" s="229"/>
      <c r="O289" s="229"/>
    </row>
    <row r="290" spans="13:15" x14ac:dyDescent="0.65">
      <c r="M290" s="228"/>
      <c r="N290" s="229"/>
      <c r="O290" s="229"/>
    </row>
    <row r="291" spans="13:15" x14ac:dyDescent="0.65">
      <c r="M291" s="228"/>
      <c r="N291" s="229"/>
      <c r="O291" s="229"/>
    </row>
    <row r="292" spans="13:15" x14ac:dyDescent="0.65">
      <c r="M292" s="228"/>
      <c r="N292" s="229"/>
      <c r="O292" s="229"/>
    </row>
    <row r="293" spans="13:15" x14ac:dyDescent="0.65">
      <c r="M293" s="228"/>
      <c r="N293" s="229"/>
      <c r="O293" s="229"/>
    </row>
    <row r="294" spans="13:15" x14ac:dyDescent="0.65">
      <c r="M294" s="228"/>
      <c r="N294" s="229"/>
      <c r="O294" s="229"/>
    </row>
    <row r="295" spans="13:15" x14ac:dyDescent="0.65">
      <c r="M295" s="228"/>
      <c r="N295" s="229"/>
      <c r="O295" s="229"/>
    </row>
  </sheetData>
  <sheetProtection selectLockedCells="1"/>
  <mergeCells count="753">
    <mergeCell ref="B15:C15"/>
    <mergeCell ref="D15:J15"/>
    <mergeCell ref="B16:C16"/>
    <mergeCell ref="B17:C17"/>
    <mergeCell ref="D17:J17"/>
    <mergeCell ref="B8:C8"/>
    <mergeCell ref="B9:C9"/>
    <mergeCell ref="B10:C10"/>
    <mergeCell ref="D10:J10"/>
    <mergeCell ref="B11:C11"/>
    <mergeCell ref="B12:C12"/>
    <mergeCell ref="N4:P4"/>
    <mergeCell ref="Q4:S4"/>
    <mergeCell ref="V4:X4"/>
    <mergeCell ref="Y4:AA4"/>
    <mergeCell ref="C7:K7"/>
    <mergeCell ref="N7:P7"/>
    <mergeCell ref="Q7:S7"/>
    <mergeCell ref="B13:C13"/>
    <mergeCell ref="B14:C14"/>
    <mergeCell ref="D25:J25"/>
    <mergeCell ref="B26:C26"/>
    <mergeCell ref="B27:C27"/>
    <mergeCell ref="B18:C18"/>
    <mergeCell ref="B19:C19"/>
    <mergeCell ref="B20:C20"/>
    <mergeCell ref="M20:O20"/>
    <mergeCell ref="B21:C21"/>
    <mergeCell ref="B22:C22"/>
    <mergeCell ref="D22:J22"/>
    <mergeCell ref="B28:C28"/>
    <mergeCell ref="B29:C29"/>
    <mergeCell ref="B30:C30"/>
    <mergeCell ref="B31:C31"/>
    <mergeCell ref="B32:C32"/>
    <mergeCell ref="B33:C33"/>
    <mergeCell ref="B23:C23"/>
    <mergeCell ref="B24:C24"/>
    <mergeCell ref="B25:C25"/>
    <mergeCell ref="B40:C40"/>
    <mergeCell ref="B41:C41"/>
    <mergeCell ref="B42:C42"/>
    <mergeCell ref="B43:C43"/>
    <mergeCell ref="B44:C44"/>
    <mergeCell ref="B45:C45"/>
    <mergeCell ref="B34:C34"/>
    <mergeCell ref="B35:C35"/>
    <mergeCell ref="B36:C36"/>
    <mergeCell ref="B37:C37"/>
    <mergeCell ref="B38:C38"/>
    <mergeCell ref="B39:C39"/>
    <mergeCell ref="B52:C52"/>
    <mergeCell ref="B53:C53"/>
    <mergeCell ref="B54:C54"/>
    <mergeCell ref="B55:C55"/>
    <mergeCell ref="B56:C56"/>
    <mergeCell ref="D56:J56"/>
    <mergeCell ref="B46:C46"/>
    <mergeCell ref="B47:C47"/>
    <mergeCell ref="B48:C48"/>
    <mergeCell ref="B49:C49"/>
    <mergeCell ref="B50:C50"/>
    <mergeCell ref="B51:C51"/>
    <mergeCell ref="B62:C62"/>
    <mergeCell ref="D62:D66"/>
    <mergeCell ref="H62:J66"/>
    <mergeCell ref="B63:C63"/>
    <mergeCell ref="B64:C64"/>
    <mergeCell ref="B65:C65"/>
    <mergeCell ref="B66:C66"/>
    <mergeCell ref="B57:C57"/>
    <mergeCell ref="B58:C58"/>
    <mergeCell ref="B59:C59"/>
    <mergeCell ref="B60:C60"/>
    <mergeCell ref="B61:C61"/>
    <mergeCell ref="D61:J61"/>
    <mergeCell ref="B73:C73"/>
    <mergeCell ref="E73:F73"/>
    <mergeCell ref="B74:C74"/>
    <mergeCell ref="E74:F74"/>
    <mergeCell ref="B75:C75"/>
    <mergeCell ref="E75:F75"/>
    <mergeCell ref="C69:H69"/>
    <mergeCell ref="B70:C70"/>
    <mergeCell ref="G70:H70"/>
    <mergeCell ref="B71:C71"/>
    <mergeCell ref="E71:F71"/>
    <mergeCell ref="B72:C72"/>
    <mergeCell ref="E72:F72"/>
    <mergeCell ref="B79:C79"/>
    <mergeCell ref="E79:F79"/>
    <mergeCell ref="B80:C80"/>
    <mergeCell ref="E80:F80"/>
    <mergeCell ref="B84:C84"/>
    <mergeCell ref="D84:F84"/>
    <mergeCell ref="B76:C76"/>
    <mergeCell ref="E76:F76"/>
    <mergeCell ref="B77:C77"/>
    <mergeCell ref="E77:F77"/>
    <mergeCell ref="B78:C78"/>
    <mergeCell ref="E78:F78"/>
    <mergeCell ref="G84:H84"/>
    <mergeCell ref="I84:J84"/>
    <mergeCell ref="B85:C120"/>
    <mergeCell ref="D85:F85"/>
    <mergeCell ref="G85:H85"/>
    <mergeCell ref="I85:J85"/>
    <mergeCell ref="D86:F86"/>
    <mergeCell ref="G86:H86"/>
    <mergeCell ref="I86:J86"/>
    <mergeCell ref="D87:F87"/>
    <mergeCell ref="D90:F90"/>
    <mergeCell ref="G90:H90"/>
    <mergeCell ref="I90:J90"/>
    <mergeCell ref="D91:F91"/>
    <mergeCell ref="G91:H91"/>
    <mergeCell ref="I91:J91"/>
    <mergeCell ref="G87:H87"/>
    <mergeCell ref="I87:J87"/>
    <mergeCell ref="D88:F88"/>
    <mergeCell ref="G88:H88"/>
    <mergeCell ref="I88:J88"/>
    <mergeCell ref="D89:F89"/>
    <mergeCell ref="G89:H89"/>
    <mergeCell ref="I89:J89"/>
    <mergeCell ref="D94:F94"/>
    <mergeCell ref="G94:H94"/>
    <mergeCell ref="I94:J94"/>
    <mergeCell ref="D95:F95"/>
    <mergeCell ref="G95:H95"/>
    <mergeCell ref="I95:J95"/>
    <mergeCell ref="D92:F92"/>
    <mergeCell ref="G92:H92"/>
    <mergeCell ref="I92:J92"/>
    <mergeCell ref="D93:F93"/>
    <mergeCell ref="G93:H93"/>
    <mergeCell ref="I93:J93"/>
    <mergeCell ref="D98:F98"/>
    <mergeCell ref="G98:H98"/>
    <mergeCell ref="I98:J98"/>
    <mergeCell ref="D99:F99"/>
    <mergeCell ref="G99:H99"/>
    <mergeCell ref="I99:J99"/>
    <mergeCell ref="D96:F96"/>
    <mergeCell ref="G96:H96"/>
    <mergeCell ref="I96:J96"/>
    <mergeCell ref="D97:F97"/>
    <mergeCell ref="G97:H97"/>
    <mergeCell ref="I97:J97"/>
    <mergeCell ref="D102:F102"/>
    <mergeCell ref="G102:H102"/>
    <mergeCell ref="I102:J102"/>
    <mergeCell ref="D103:F103"/>
    <mergeCell ref="G103:H103"/>
    <mergeCell ref="I103:J103"/>
    <mergeCell ref="D100:F100"/>
    <mergeCell ref="G100:H100"/>
    <mergeCell ref="I100:J100"/>
    <mergeCell ref="D101:F101"/>
    <mergeCell ref="G101:H101"/>
    <mergeCell ref="I101:J101"/>
    <mergeCell ref="D106:F106"/>
    <mergeCell ref="G106:H106"/>
    <mergeCell ref="I106:J106"/>
    <mergeCell ref="D107:F107"/>
    <mergeCell ref="G107:H107"/>
    <mergeCell ref="I107:J107"/>
    <mergeCell ref="D104:F104"/>
    <mergeCell ref="G104:H104"/>
    <mergeCell ref="I104:J104"/>
    <mergeCell ref="D105:F105"/>
    <mergeCell ref="G105:H105"/>
    <mergeCell ref="I105:J105"/>
    <mergeCell ref="D110:F110"/>
    <mergeCell ref="G110:H110"/>
    <mergeCell ref="I110:J110"/>
    <mergeCell ref="D111:F111"/>
    <mergeCell ref="G111:H111"/>
    <mergeCell ref="I111:J111"/>
    <mergeCell ref="D108:F108"/>
    <mergeCell ref="G108:H108"/>
    <mergeCell ref="I108:J108"/>
    <mergeCell ref="D109:F109"/>
    <mergeCell ref="G109:H109"/>
    <mergeCell ref="I109:J109"/>
    <mergeCell ref="D114:F114"/>
    <mergeCell ref="G114:H114"/>
    <mergeCell ref="I114:J114"/>
    <mergeCell ref="D115:F115"/>
    <mergeCell ref="G115:H115"/>
    <mergeCell ref="I115:J115"/>
    <mergeCell ref="D112:F112"/>
    <mergeCell ref="G112:H112"/>
    <mergeCell ref="I112:J112"/>
    <mergeCell ref="D113:F113"/>
    <mergeCell ref="G113:H113"/>
    <mergeCell ref="I113:J113"/>
    <mergeCell ref="D118:F118"/>
    <mergeCell ref="G118:H118"/>
    <mergeCell ref="I118:J118"/>
    <mergeCell ref="D119:F119"/>
    <mergeCell ref="G119:H119"/>
    <mergeCell ref="I119:J119"/>
    <mergeCell ref="D116:F116"/>
    <mergeCell ref="G116:H116"/>
    <mergeCell ref="I116:J116"/>
    <mergeCell ref="D117:F117"/>
    <mergeCell ref="G117:H117"/>
    <mergeCell ref="I117:J117"/>
    <mergeCell ref="B122:C122"/>
    <mergeCell ref="D122:F122"/>
    <mergeCell ref="G122:H122"/>
    <mergeCell ref="I122:J122"/>
    <mergeCell ref="B123:C123"/>
    <mergeCell ref="D123:F123"/>
    <mergeCell ref="G123:H123"/>
    <mergeCell ref="I123:J123"/>
    <mergeCell ref="D120:F120"/>
    <mergeCell ref="G120:H120"/>
    <mergeCell ref="I120:J120"/>
    <mergeCell ref="B121:C121"/>
    <mergeCell ref="D121:F121"/>
    <mergeCell ref="G121:H121"/>
    <mergeCell ref="I121:J121"/>
    <mergeCell ref="B126:C126"/>
    <mergeCell ref="D126:F126"/>
    <mergeCell ref="G126:H126"/>
    <mergeCell ref="I126:J126"/>
    <mergeCell ref="B127:C127"/>
    <mergeCell ref="D127:F127"/>
    <mergeCell ref="G127:H127"/>
    <mergeCell ref="I127:J127"/>
    <mergeCell ref="B124:C124"/>
    <mergeCell ref="D124:F124"/>
    <mergeCell ref="G124:H124"/>
    <mergeCell ref="I124:J124"/>
    <mergeCell ref="B125:C125"/>
    <mergeCell ref="D125:F125"/>
    <mergeCell ref="G125:H125"/>
    <mergeCell ref="I125:J125"/>
    <mergeCell ref="B130:C130"/>
    <mergeCell ref="D130:F130"/>
    <mergeCell ref="G130:H130"/>
    <mergeCell ref="I130:J130"/>
    <mergeCell ref="B131:C131"/>
    <mergeCell ref="D131:F131"/>
    <mergeCell ref="G131:H131"/>
    <mergeCell ref="I131:J131"/>
    <mergeCell ref="B128:C128"/>
    <mergeCell ref="D128:F128"/>
    <mergeCell ref="G128:H128"/>
    <mergeCell ref="I128:J128"/>
    <mergeCell ref="B129:C129"/>
    <mergeCell ref="D129:F129"/>
    <mergeCell ref="G129:H129"/>
    <mergeCell ref="I129:J129"/>
    <mergeCell ref="B134:C134"/>
    <mergeCell ref="D134:F134"/>
    <mergeCell ref="G134:H134"/>
    <mergeCell ref="I134:J134"/>
    <mergeCell ref="B135:C135"/>
    <mergeCell ref="D135:F135"/>
    <mergeCell ref="G135:H135"/>
    <mergeCell ref="I135:J135"/>
    <mergeCell ref="B132:C132"/>
    <mergeCell ref="D132:F132"/>
    <mergeCell ref="G132:H132"/>
    <mergeCell ref="I132:J132"/>
    <mergeCell ref="B133:C133"/>
    <mergeCell ref="D133:F133"/>
    <mergeCell ref="G133:H133"/>
    <mergeCell ref="I133:J133"/>
    <mergeCell ref="B138:C138"/>
    <mergeCell ref="D138:F138"/>
    <mergeCell ref="G138:H138"/>
    <mergeCell ref="I138:J138"/>
    <mergeCell ref="B139:C139"/>
    <mergeCell ref="D139:F139"/>
    <mergeCell ref="G139:H139"/>
    <mergeCell ref="I139:J139"/>
    <mergeCell ref="B136:C136"/>
    <mergeCell ref="D136:F136"/>
    <mergeCell ref="G136:H136"/>
    <mergeCell ref="I136:J136"/>
    <mergeCell ref="B137:C137"/>
    <mergeCell ref="D137:F137"/>
    <mergeCell ref="G137:H137"/>
    <mergeCell ref="I137:J137"/>
    <mergeCell ref="B142:C142"/>
    <mergeCell ref="D142:F142"/>
    <mergeCell ref="G142:H142"/>
    <mergeCell ref="I142:J142"/>
    <mergeCell ref="B143:C143"/>
    <mergeCell ref="D143:F143"/>
    <mergeCell ref="G143:H143"/>
    <mergeCell ref="I143:J143"/>
    <mergeCell ref="B140:C140"/>
    <mergeCell ref="D140:F140"/>
    <mergeCell ref="G140:H140"/>
    <mergeCell ref="I140:J140"/>
    <mergeCell ref="B141:C141"/>
    <mergeCell ref="D141:F141"/>
    <mergeCell ref="G141:H141"/>
    <mergeCell ref="I141:J141"/>
    <mergeCell ref="B146:C146"/>
    <mergeCell ref="D146:F146"/>
    <mergeCell ref="G146:H146"/>
    <mergeCell ref="I146:J146"/>
    <mergeCell ref="B147:C147"/>
    <mergeCell ref="D147:F147"/>
    <mergeCell ref="G147:H147"/>
    <mergeCell ref="I147:J147"/>
    <mergeCell ref="B144:C144"/>
    <mergeCell ref="D144:F144"/>
    <mergeCell ref="G144:H144"/>
    <mergeCell ref="I144:J144"/>
    <mergeCell ref="B145:C145"/>
    <mergeCell ref="D145:F145"/>
    <mergeCell ref="G145:H145"/>
    <mergeCell ref="I145:J145"/>
    <mergeCell ref="B150:C150"/>
    <mergeCell ref="D150:F150"/>
    <mergeCell ref="G150:H150"/>
    <mergeCell ref="I150:J150"/>
    <mergeCell ref="B151:C151"/>
    <mergeCell ref="D151:F151"/>
    <mergeCell ref="G151:H151"/>
    <mergeCell ref="I151:J151"/>
    <mergeCell ref="B148:C148"/>
    <mergeCell ref="D148:F148"/>
    <mergeCell ref="G148:H148"/>
    <mergeCell ref="I148:J148"/>
    <mergeCell ref="B149:C149"/>
    <mergeCell ref="D149:F149"/>
    <mergeCell ref="G149:H149"/>
    <mergeCell ref="I149:J149"/>
    <mergeCell ref="B154:C154"/>
    <mergeCell ref="D154:F154"/>
    <mergeCell ref="G154:H154"/>
    <mergeCell ref="I154:J154"/>
    <mergeCell ref="B155:C155"/>
    <mergeCell ref="D155:F155"/>
    <mergeCell ref="G155:H155"/>
    <mergeCell ref="I155:J155"/>
    <mergeCell ref="B152:C152"/>
    <mergeCell ref="D152:F152"/>
    <mergeCell ref="G152:H152"/>
    <mergeCell ref="I152:J152"/>
    <mergeCell ref="B153:C153"/>
    <mergeCell ref="D153:F153"/>
    <mergeCell ref="G153:H153"/>
    <mergeCell ref="I153:J153"/>
    <mergeCell ref="B158:C158"/>
    <mergeCell ref="D158:F158"/>
    <mergeCell ref="G158:H158"/>
    <mergeCell ref="I158:J158"/>
    <mergeCell ref="B159:C159"/>
    <mergeCell ref="D159:F159"/>
    <mergeCell ref="G159:H159"/>
    <mergeCell ref="I159:J159"/>
    <mergeCell ref="B156:C156"/>
    <mergeCell ref="D156:F156"/>
    <mergeCell ref="G156:H156"/>
    <mergeCell ref="I156:J156"/>
    <mergeCell ref="B157:C157"/>
    <mergeCell ref="D157:F157"/>
    <mergeCell ref="G157:H157"/>
    <mergeCell ref="I157:J157"/>
    <mergeCell ref="B160:C190"/>
    <mergeCell ref="D160:F160"/>
    <mergeCell ref="G160:H160"/>
    <mergeCell ref="I160:J160"/>
    <mergeCell ref="D161:F161"/>
    <mergeCell ref="G161:H161"/>
    <mergeCell ref="I161:J161"/>
    <mergeCell ref="D162:F162"/>
    <mergeCell ref="G162:H162"/>
    <mergeCell ref="I162:J162"/>
    <mergeCell ref="D165:F165"/>
    <mergeCell ref="G165:H165"/>
    <mergeCell ref="I165:J165"/>
    <mergeCell ref="D166:F166"/>
    <mergeCell ref="G166:H166"/>
    <mergeCell ref="I166:J166"/>
    <mergeCell ref="D163:F163"/>
    <mergeCell ref="G163:H163"/>
    <mergeCell ref="I163:J163"/>
    <mergeCell ref="D164:F164"/>
    <mergeCell ref="G164:H164"/>
    <mergeCell ref="I164:J164"/>
    <mergeCell ref="D169:F169"/>
    <mergeCell ref="G169:H169"/>
    <mergeCell ref="I169:J169"/>
    <mergeCell ref="D170:F170"/>
    <mergeCell ref="G170:H170"/>
    <mergeCell ref="I170:J170"/>
    <mergeCell ref="D167:F167"/>
    <mergeCell ref="G167:H167"/>
    <mergeCell ref="I167:J167"/>
    <mergeCell ref="D168:F168"/>
    <mergeCell ref="G168:H168"/>
    <mergeCell ref="I168:J168"/>
    <mergeCell ref="D173:F173"/>
    <mergeCell ref="G173:H173"/>
    <mergeCell ref="I173:J173"/>
    <mergeCell ref="D174:F174"/>
    <mergeCell ref="G174:H174"/>
    <mergeCell ref="I174:J174"/>
    <mergeCell ref="D171:F171"/>
    <mergeCell ref="G171:H171"/>
    <mergeCell ref="I171:J171"/>
    <mergeCell ref="D172:F172"/>
    <mergeCell ref="G172:H172"/>
    <mergeCell ref="I172:J172"/>
    <mergeCell ref="D177:F177"/>
    <mergeCell ref="G177:H177"/>
    <mergeCell ref="I177:J177"/>
    <mergeCell ref="D178:F178"/>
    <mergeCell ref="G178:H178"/>
    <mergeCell ref="I178:J178"/>
    <mergeCell ref="D175:F175"/>
    <mergeCell ref="G175:H175"/>
    <mergeCell ref="I175:J175"/>
    <mergeCell ref="D176:F176"/>
    <mergeCell ref="G176:H176"/>
    <mergeCell ref="I176:J176"/>
    <mergeCell ref="D181:F181"/>
    <mergeCell ref="G181:H181"/>
    <mergeCell ref="I181:J181"/>
    <mergeCell ref="D182:F182"/>
    <mergeCell ref="G182:H182"/>
    <mergeCell ref="I182:J182"/>
    <mergeCell ref="D179:F179"/>
    <mergeCell ref="G179:H179"/>
    <mergeCell ref="I179:J179"/>
    <mergeCell ref="D180:F180"/>
    <mergeCell ref="G180:H180"/>
    <mergeCell ref="I180:J180"/>
    <mergeCell ref="D185:F185"/>
    <mergeCell ref="G185:H185"/>
    <mergeCell ref="I185:J185"/>
    <mergeCell ref="D186:F186"/>
    <mergeCell ref="G186:H186"/>
    <mergeCell ref="I186:J186"/>
    <mergeCell ref="D183:F183"/>
    <mergeCell ref="G183:H183"/>
    <mergeCell ref="I183:J183"/>
    <mergeCell ref="D184:F184"/>
    <mergeCell ref="G184:H184"/>
    <mergeCell ref="I184:J184"/>
    <mergeCell ref="D189:F189"/>
    <mergeCell ref="G189:H189"/>
    <mergeCell ref="I189:J189"/>
    <mergeCell ref="D190:F190"/>
    <mergeCell ref="G190:H190"/>
    <mergeCell ref="I190:J190"/>
    <mergeCell ref="D187:F187"/>
    <mergeCell ref="G187:H187"/>
    <mergeCell ref="I187:J187"/>
    <mergeCell ref="D188:F188"/>
    <mergeCell ref="G188:H188"/>
    <mergeCell ref="I188:J188"/>
    <mergeCell ref="B191:C193"/>
    <mergeCell ref="D191:F191"/>
    <mergeCell ref="G191:H191"/>
    <mergeCell ref="I191:J191"/>
    <mergeCell ref="D192:F192"/>
    <mergeCell ref="G192:H192"/>
    <mergeCell ref="I192:J192"/>
    <mergeCell ref="D193:F193"/>
    <mergeCell ref="G193:H193"/>
    <mergeCell ref="I193:J193"/>
    <mergeCell ref="G198:H198"/>
    <mergeCell ref="I198:J198"/>
    <mergeCell ref="K198:L198"/>
    <mergeCell ref="G199:H199"/>
    <mergeCell ref="I199:J199"/>
    <mergeCell ref="K199:L199"/>
    <mergeCell ref="B196:C196"/>
    <mergeCell ref="D196:F196"/>
    <mergeCell ref="G196:H196"/>
    <mergeCell ref="I196:J196"/>
    <mergeCell ref="K196:L196"/>
    <mergeCell ref="B197:C199"/>
    <mergeCell ref="D197:F199"/>
    <mergeCell ref="G197:H197"/>
    <mergeCell ref="I197:J197"/>
    <mergeCell ref="K197:L197"/>
    <mergeCell ref="K202:L202"/>
    <mergeCell ref="B203:C204"/>
    <mergeCell ref="D203:F204"/>
    <mergeCell ref="G203:H203"/>
    <mergeCell ref="I203:J203"/>
    <mergeCell ref="K203:L203"/>
    <mergeCell ref="G204:H204"/>
    <mergeCell ref="I204:J204"/>
    <mergeCell ref="K204:L204"/>
    <mergeCell ref="B200:C202"/>
    <mergeCell ref="D200:F202"/>
    <mergeCell ref="G200:H200"/>
    <mergeCell ref="I200:J200"/>
    <mergeCell ref="K200:L200"/>
    <mergeCell ref="G201:H201"/>
    <mergeCell ref="I201:J201"/>
    <mergeCell ref="K201:L201"/>
    <mergeCell ref="G202:H202"/>
    <mergeCell ref="I202:J202"/>
    <mergeCell ref="G207:H207"/>
    <mergeCell ref="I207:J207"/>
    <mergeCell ref="K207:L207"/>
    <mergeCell ref="D208:F208"/>
    <mergeCell ref="G208:H208"/>
    <mergeCell ref="I208:J208"/>
    <mergeCell ref="K208:L208"/>
    <mergeCell ref="B205:C209"/>
    <mergeCell ref="D205:F205"/>
    <mergeCell ref="G205:H205"/>
    <mergeCell ref="I205:J205"/>
    <mergeCell ref="K205:L205"/>
    <mergeCell ref="D206:F206"/>
    <mergeCell ref="G206:H206"/>
    <mergeCell ref="I206:J206"/>
    <mergeCell ref="K206:L206"/>
    <mergeCell ref="D207:F207"/>
    <mergeCell ref="D209:F209"/>
    <mergeCell ref="G209:H209"/>
    <mergeCell ref="I209:J209"/>
    <mergeCell ref="K209:L209"/>
    <mergeCell ref="B210:C214"/>
    <mergeCell ref="D210:F210"/>
    <mergeCell ref="G210:H210"/>
    <mergeCell ref="I210:J210"/>
    <mergeCell ref="K210:L210"/>
    <mergeCell ref="D211:F211"/>
    <mergeCell ref="D213:F213"/>
    <mergeCell ref="G213:H213"/>
    <mergeCell ref="I213:J213"/>
    <mergeCell ref="K213:L213"/>
    <mergeCell ref="D214:F214"/>
    <mergeCell ref="G214:H214"/>
    <mergeCell ref="I214:J214"/>
    <mergeCell ref="K214:L214"/>
    <mergeCell ref="G211:H211"/>
    <mergeCell ref="I211:J211"/>
    <mergeCell ref="K211:L211"/>
    <mergeCell ref="D212:F212"/>
    <mergeCell ref="G212:H212"/>
    <mergeCell ref="I212:J212"/>
    <mergeCell ref="K212:L212"/>
    <mergeCell ref="G217:H217"/>
    <mergeCell ref="I217:J217"/>
    <mergeCell ref="K217:L217"/>
    <mergeCell ref="D218:F218"/>
    <mergeCell ref="G218:H218"/>
    <mergeCell ref="I218:J218"/>
    <mergeCell ref="K218:L218"/>
    <mergeCell ref="B215:C218"/>
    <mergeCell ref="D215:F215"/>
    <mergeCell ref="G215:H215"/>
    <mergeCell ref="I215:J215"/>
    <mergeCell ref="K215:L215"/>
    <mergeCell ref="D216:F216"/>
    <mergeCell ref="G216:H216"/>
    <mergeCell ref="I216:J216"/>
    <mergeCell ref="K216:L216"/>
    <mergeCell ref="D217:F217"/>
    <mergeCell ref="M218:M252"/>
    <mergeCell ref="B219:C224"/>
    <mergeCell ref="D219:F219"/>
    <mergeCell ref="G219:H219"/>
    <mergeCell ref="I219:J219"/>
    <mergeCell ref="K219:L219"/>
    <mergeCell ref="D220:F220"/>
    <mergeCell ref="G220:H220"/>
    <mergeCell ref="I220:J220"/>
    <mergeCell ref="K220:L220"/>
    <mergeCell ref="D223:F223"/>
    <mergeCell ref="G223:H223"/>
    <mergeCell ref="I223:J223"/>
    <mergeCell ref="K223:L223"/>
    <mergeCell ref="D224:F224"/>
    <mergeCell ref="G224:H224"/>
    <mergeCell ref="I224:J224"/>
    <mergeCell ref="K224:L224"/>
    <mergeCell ref="D221:F221"/>
    <mergeCell ref="G221:H221"/>
    <mergeCell ref="I221:J221"/>
    <mergeCell ref="K221:L221"/>
    <mergeCell ref="D222:F222"/>
    <mergeCell ref="G222:H222"/>
    <mergeCell ref="I222:J222"/>
    <mergeCell ref="K222:L222"/>
    <mergeCell ref="B225:C230"/>
    <mergeCell ref="D225:F225"/>
    <mergeCell ref="G225:H225"/>
    <mergeCell ref="I225:J225"/>
    <mergeCell ref="K225:L225"/>
    <mergeCell ref="D226:F226"/>
    <mergeCell ref="G226:H226"/>
    <mergeCell ref="I226:J226"/>
    <mergeCell ref="K226:L226"/>
    <mergeCell ref="D227:F227"/>
    <mergeCell ref="D229:F229"/>
    <mergeCell ref="G229:H229"/>
    <mergeCell ref="I229:J229"/>
    <mergeCell ref="K229:L229"/>
    <mergeCell ref="D230:F230"/>
    <mergeCell ref="G230:H230"/>
    <mergeCell ref="I230:J230"/>
    <mergeCell ref="K230:L230"/>
    <mergeCell ref="G227:H227"/>
    <mergeCell ref="I227:J227"/>
    <mergeCell ref="K227:L227"/>
    <mergeCell ref="D228:F228"/>
    <mergeCell ref="G228:H228"/>
    <mergeCell ref="I228:J228"/>
    <mergeCell ref="K228:L228"/>
    <mergeCell ref="I235:J235"/>
    <mergeCell ref="D236:F236"/>
    <mergeCell ref="G236:H236"/>
    <mergeCell ref="I236:J236"/>
    <mergeCell ref="D237:F237"/>
    <mergeCell ref="G237:H237"/>
    <mergeCell ref="I237:J237"/>
    <mergeCell ref="B233:C233"/>
    <mergeCell ref="D233:F233"/>
    <mergeCell ref="G233:H233"/>
    <mergeCell ref="I233:J233"/>
    <mergeCell ref="B234:C237"/>
    <mergeCell ref="D234:F234"/>
    <mergeCell ref="G234:H234"/>
    <mergeCell ref="I234:J234"/>
    <mergeCell ref="D235:F235"/>
    <mergeCell ref="G235:H235"/>
    <mergeCell ref="D241:F241"/>
    <mergeCell ref="G241:H241"/>
    <mergeCell ref="I241:J241"/>
    <mergeCell ref="D242:F242"/>
    <mergeCell ref="G242:H242"/>
    <mergeCell ref="I242:J242"/>
    <mergeCell ref="D243:F243"/>
    <mergeCell ref="G243:H243"/>
    <mergeCell ref="B238:C238"/>
    <mergeCell ref="D238:F238"/>
    <mergeCell ref="G238:H238"/>
    <mergeCell ref="I238:J238"/>
    <mergeCell ref="B239:C240"/>
    <mergeCell ref="D239:F239"/>
    <mergeCell ref="G239:H239"/>
    <mergeCell ref="I239:J239"/>
    <mergeCell ref="D240:F240"/>
    <mergeCell ref="G240:H240"/>
    <mergeCell ref="I240:J240"/>
    <mergeCell ref="B247:C252"/>
    <mergeCell ref="D247:F247"/>
    <mergeCell ref="G247:H247"/>
    <mergeCell ref="I247:J247"/>
    <mergeCell ref="D248:F248"/>
    <mergeCell ref="G248:H248"/>
    <mergeCell ref="I248:J248"/>
    <mergeCell ref="I243:J243"/>
    <mergeCell ref="D244:F244"/>
    <mergeCell ref="G244:H244"/>
    <mergeCell ref="I244:J244"/>
    <mergeCell ref="D245:F245"/>
    <mergeCell ref="G245:H245"/>
    <mergeCell ref="I245:J245"/>
    <mergeCell ref="D249:F249"/>
    <mergeCell ref="G249:H249"/>
    <mergeCell ref="I249:J249"/>
    <mergeCell ref="D250:F250"/>
    <mergeCell ref="G250:H250"/>
    <mergeCell ref="I250:J250"/>
    <mergeCell ref="D246:F246"/>
    <mergeCell ref="G246:H246"/>
    <mergeCell ref="I246:J246"/>
    <mergeCell ref="B241:C246"/>
    <mergeCell ref="D255:F255"/>
    <mergeCell ref="G255:H255"/>
    <mergeCell ref="I255:J255"/>
    <mergeCell ref="D251:F251"/>
    <mergeCell ref="G251:H251"/>
    <mergeCell ref="I251:J251"/>
    <mergeCell ref="D252:F252"/>
    <mergeCell ref="G252:H252"/>
    <mergeCell ref="I252:J252"/>
    <mergeCell ref="B260:C263"/>
    <mergeCell ref="D260:F260"/>
    <mergeCell ref="G260:H260"/>
    <mergeCell ref="I260:J260"/>
    <mergeCell ref="D261:F261"/>
    <mergeCell ref="G261:H261"/>
    <mergeCell ref="I261:J261"/>
    <mergeCell ref="D256:F256"/>
    <mergeCell ref="G256:H256"/>
    <mergeCell ref="I256:J256"/>
    <mergeCell ref="B257:C259"/>
    <mergeCell ref="D257:F257"/>
    <mergeCell ref="G257:H257"/>
    <mergeCell ref="I257:J257"/>
    <mergeCell ref="D258:F258"/>
    <mergeCell ref="G258:H258"/>
    <mergeCell ref="I258:J258"/>
    <mergeCell ref="B253:C256"/>
    <mergeCell ref="D253:F253"/>
    <mergeCell ref="G253:H253"/>
    <mergeCell ref="I253:J253"/>
    <mergeCell ref="D254:F254"/>
    <mergeCell ref="G254:H254"/>
    <mergeCell ref="I254:J254"/>
    <mergeCell ref="D262:F262"/>
    <mergeCell ref="G262:H262"/>
    <mergeCell ref="I262:J262"/>
    <mergeCell ref="D263:F263"/>
    <mergeCell ref="G263:H263"/>
    <mergeCell ref="I263:J263"/>
    <mergeCell ref="D259:F259"/>
    <mergeCell ref="G259:H259"/>
    <mergeCell ref="I259:J259"/>
    <mergeCell ref="B264:C266"/>
    <mergeCell ref="D264:F264"/>
    <mergeCell ref="G264:H264"/>
    <mergeCell ref="I264:J264"/>
    <mergeCell ref="D265:F265"/>
    <mergeCell ref="G265:H265"/>
    <mergeCell ref="I265:J265"/>
    <mergeCell ref="D266:F266"/>
    <mergeCell ref="G266:H266"/>
    <mergeCell ref="I266:J266"/>
    <mergeCell ref="R20:U20"/>
    <mergeCell ref="D273:F273"/>
    <mergeCell ref="G273:H273"/>
    <mergeCell ref="I273:J273"/>
    <mergeCell ref="B270:C273"/>
    <mergeCell ref="D270:F270"/>
    <mergeCell ref="G270:H270"/>
    <mergeCell ref="I270:J270"/>
    <mergeCell ref="D271:F271"/>
    <mergeCell ref="G271:H271"/>
    <mergeCell ref="I271:J271"/>
    <mergeCell ref="D272:F272"/>
    <mergeCell ref="G272:H272"/>
    <mergeCell ref="I272:J272"/>
    <mergeCell ref="B267:C269"/>
    <mergeCell ref="D267:F267"/>
    <mergeCell ref="G267:H267"/>
    <mergeCell ref="I267:J267"/>
    <mergeCell ref="D268:F268"/>
    <mergeCell ref="G268:H268"/>
    <mergeCell ref="I268:J268"/>
    <mergeCell ref="D269:F269"/>
    <mergeCell ref="G269:H269"/>
    <mergeCell ref="I269:J269"/>
  </mergeCells>
  <hyperlinks>
    <hyperlink ref="M6" r:id="rId1" xr:uid="{9550F27F-DD93-416F-964F-935113541878}"/>
    <hyperlink ref="P38" r:id="rId2" xr:uid="{63A983F8-E65A-44FC-A30A-C2473577412E}"/>
    <hyperlink ref="P42" r:id="rId3" xr:uid="{B9F19BBD-1393-400D-AF65-9A6170452C2F}"/>
    <hyperlink ref="P46" r:id="rId4" xr:uid="{F43DBBEF-2013-471C-B4C9-16903A4239B0}"/>
    <hyperlink ref="B2" r:id="rId5" display="https://www.epa.gov/system/files/documents/2023-03/ghg_emission_factors_hub.pdf" xr:uid="{A8D312BC-FD67-4698-96BB-64EFE70A7734}"/>
    <hyperlink ref="W21" r:id="rId6" location="vehicles:~:text=8.89%20%C3%97%2010%2D3%20metric%20tons%20CO2/gallon%20gasoline%20%C3%97%2011%2C520%C2%A0VMT%20car/truck%20average%20%C3%97%201/22.9%C2%A0miles%20per%20gallon%20car/truck%20average%20%C3%97%201%20CO2%2C%20CH4%2C%20and%20N2O/0.993%20CO2%20%3D%204.49%20metric%20tons%20CO2E/vehicle%20/year" xr:uid="{90A2FA75-0F54-4358-BA05-F3BD3440EA0C}"/>
    <hyperlink ref="R36" r:id="rId7" location="houseenergy" xr:uid="{2165B373-8797-4300-9B75-B20E5B8CA0F5}"/>
  </hyperlinks>
  <pageMargins left="0.7" right="0.7" top="0.75" bottom="0.75" header="0.3" footer="0.3"/>
  <legacyDrawing r:id="rId8"/>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F944-36DB-4AC7-ACCC-498C730CE2A8}">
  <sheetPr>
    <tabColor theme="5"/>
  </sheetPr>
  <dimension ref="A1:S49"/>
  <sheetViews>
    <sheetView workbookViewId="0">
      <pane xSplit="3" ySplit="1" topLeftCell="M27" activePane="bottomRight" state="frozen"/>
      <selection activeCell="K1" sqref="K1:L1048576"/>
      <selection pane="topRight" activeCell="K1" sqref="K1:L1048576"/>
      <selection pane="bottomLeft" activeCell="K1" sqref="K1:L1048576"/>
      <selection pane="bottomRight" activeCell="L29" sqref="L29"/>
    </sheetView>
  </sheetViews>
  <sheetFormatPr defaultRowHeight="14.25" x14ac:dyDescent="0.65"/>
  <cols>
    <col min="1" max="1" width="13.25" customWidth="1"/>
    <col min="2" max="2" width="27.375" bestFit="1" customWidth="1"/>
    <col min="3" max="3" width="47.5" customWidth="1"/>
    <col min="4" max="4" width="23.25" style="39" bestFit="1" customWidth="1"/>
    <col min="5" max="5" width="13.875" bestFit="1" customWidth="1"/>
    <col min="6" max="6" width="13" bestFit="1" customWidth="1"/>
    <col min="7" max="7" width="13" customWidth="1"/>
    <col min="8" max="8" width="27.25" style="39" bestFit="1" customWidth="1"/>
    <col min="9" max="17" width="13" customWidth="1"/>
    <col min="18" max="18" width="7.75" bestFit="1" customWidth="1"/>
    <col min="19" max="19" width="73.375" bestFit="1" customWidth="1"/>
    <col min="20" max="20" width="28" bestFit="1" customWidth="1"/>
    <col min="22" max="22" width="8.75" customWidth="1"/>
  </cols>
  <sheetData>
    <row r="1" spans="1:19" ht="59" x14ac:dyDescent="0.75">
      <c r="A1" s="38" t="s">
        <v>0</v>
      </c>
      <c r="B1" s="54" t="s">
        <v>1</v>
      </c>
      <c r="C1" s="55" t="s">
        <v>2</v>
      </c>
      <c r="D1" s="47" t="s">
        <v>24</v>
      </c>
      <c r="E1" s="33" t="s">
        <v>25</v>
      </c>
      <c r="F1" s="34" t="s">
        <v>26</v>
      </c>
      <c r="G1" s="57" t="s">
        <v>27</v>
      </c>
      <c r="H1" s="56" t="s">
        <v>28</v>
      </c>
      <c r="I1" s="54" t="s">
        <v>29</v>
      </c>
      <c r="J1" s="54" t="s">
        <v>30</v>
      </c>
      <c r="K1" s="54" t="s">
        <v>31</v>
      </c>
      <c r="L1" s="54" t="s">
        <v>32</v>
      </c>
      <c r="M1" s="54" t="s">
        <v>33</v>
      </c>
      <c r="N1" s="56" t="s">
        <v>34</v>
      </c>
      <c r="O1" s="43" t="s">
        <v>35</v>
      </c>
      <c r="P1" s="32" t="s">
        <v>36</v>
      </c>
      <c r="Q1" s="34" t="s">
        <v>37</v>
      </c>
      <c r="R1" s="24"/>
      <c r="S1" s="24"/>
    </row>
    <row r="2" spans="1:19" ht="14.5" x14ac:dyDescent="0.7">
      <c r="A2" s="307" t="s">
        <v>3</v>
      </c>
      <c r="B2" s="302" t="s">
        <v>38</v>
      </c>
      <c r="C2" t="s">
        <v>39</v>
      </c>
      <c r="D2" s="1701" t="s">
        <v>40</v>
      </c>
      <c r="E2" s="68" t="e">
        <f>#REF!</f>
        <v>#REF!</v>
      </c>
      <c r="F2" s="52" t="e">
        <f>E2/$E$47</f>
        <v>#REF!</v>
      </c>
      <c r="G2" s="44" t="e">
        <f>#REF!</f>
        <v>#REF!</v>
      </c>
      <c r="H2" s="92" t="s">
        <v>41</v>
      </c>
      <c r="I2" s="26" t="e">
        <f>#REF!</f>
        <v>#REF!</v>
      </c>
      <c r="J2" s="26" t="e">
        <f t="shared" ref="J2:J7" si="0">I2*G2</f>
        <v>#REF!</v>
      </c>
      <c r="K2" s="41" t="s">
        <v>42</v>
      </c>
      <c r="L2" s="26" t="e">
        <f>#REF!</f>
        <v>#REF!</v>
      </c>
      <c r="M2" s="26" t="e">
        <f>L2*G2</f>
        <v>#REF!</v>
      </c>
      <c r="N2" s="49" t="s">
        <v>43</v>
      </c>
      <c r="O2" s="78" t="e">
        <f t="shared" ref="O2:O7" si="1">J2*F2</f>
        <v>#REF!</v>
      </c>
      <c r="P2" s="130" t="e">
        <f>M2*F2</f>
        <v>#REF!</v>
      </c>
      <c r="Q2" s="79" t="e">
        <f>F2*G2</f>
        <v>#REF!</v>
      </c>
      <c r="R2" s="25"/>
      <c r="S2" s="1"/>
    </row>
    <row r="3" spans="1:19" ht="14.5" x14ac:dyDescent="0.7">
      <c r="A3" s="308"/>
      <c r="B3" s="284"/>
      <c r="C3" t="s">
        <v>44</v>
      </c>
      <c r="D3" s="1702"/>
      <c r="E3" s="69" t="e">
        <f>#REF!</f>
        <v>#REF!</v>
      </c>
      <c r="F3" s="49" t="e">
        <f>E3/$E$47</f>
        <v>#REF!</v>
      </c>
      <c r="G3" s="45" t="e">
        <f>#REF!</f>
        <v>#REF!</v>
      </c>
      <c r="H3" s="92" t="s">
        <v>45</v>
      </c>
      <c r="I3" s="26" t="e">
        <f>#REF!</f>
        <v>#REF!</v>
      </c>
      <c r="J3" s="89" t="e">
        <f t="shared" si="0"/>
        <v>#REF!</v>
      </c>
      <c r="K3" s="74" t="s">
        <v>46</v>
      </c>
      <c r="L3" s="26" t="e">
        <f>#REF!</f>
        <v>#REF!</v>
      </c>
      <c r="M3" s="26" t="e">
        <f t="shared" ref="M3:M46" si="2">L3*G3</f>
        <v>#REF!</v>
      </c>
      <c r="N3" s="75" t="s">
        <v>47</v>
      </c>
      <c r="O3" s="310" t="e">
        <f t="shared" si="1"/>
        <v>#REF!</v>
      </c>
      <c r="P3" s="89" t="e">
        <f t="shared" ref="P3:P46" si="3">M3*F3</f>
        <v>#REF!</v>
      </c>
      <c r="Q3" s="77" t="e">
        <f t="shared" ref="Q3:Q46" si="4">F3*G3</f>
        <v>#REF!</v>
      </c>
      <c r="R3" s="25"/>
      <c r="S3" s="1"/>
    </row>
    <row r="4" spans="1:19" ht="14.5" x14ac:dyDescent="0.65">
      <c r="A4" s="308"/>
      <c r="B4" s="284"/>
      <c r="C4" t="s">
        <v>451</v>
      </c>
      <c r="D4" s="301" t="s">
        <v>452</v>
      </c>
      <c r="E4" s="69" t="e">
        <f>#REF!</f>
        <v>#REF!</v>
      </c>
      <c r="F4" s="49" t="e">
        <f>E4/E47</f>
        <v>#REF!</v>
      </c>
      <c r="G4" s="45" t="e">
        <f>#REF!</f>
        <v>#REF!</v>
      </c>
      <c r="H4" s="309" t="s">
        <v>454</v>
      </c>
      <c r="I4" s="26">
        <v>0.1</v>
      </c>
      <c r="J4" s="89" t="e">
        <f t="shared" si="0"/>
        <v>#REF!</v>
      </c>
      <c r="K4" s="74" t="s">
        <v>455</v>
      </c>
      <c r="L4" s="26">
        <v>0.3</v>
      </c>
      <c r="M4" s="26" t="e">
        <f t="shared" si="2"/>
        <v>#REF!</v>
      </c>
      <c r="N4" s="74" t="s">
        <v>455</v>
      </c>
      <c r="O4" s="310" t="e">
        <f t="shared" si="1"/>
        <v>#REF!</v>
      </c>
      <c r="P4" s="89" t="e">
        <f t="shared" si="3"/>
        <v>#REF!</v>
      </c>
      <c r="Q4" s="77" t="e">
        <f t="shared" si="4"/>
        <v>#REF!</v>
      </c>
    </row>
    <row r="5" spans="1:19" ht="14.5" x14ac:dyDescent="0.7">
      <c r="A5" s="308"/>
      <c r="B5" s="284"/>
      <c r="C5" t="s">
        <v>453</v>
      </c>
      <c r="D5" s="301" t="s">
        <v>430</v>
      </c>
      <c r="E5" s="69" t="e">
        <f>#REF!</f>
        <v>#REF!</v>
      </c>
      <c r="F5" s="49" t="e">
        <f>E5/E47</f>
        <v>#REF!</v>
      </c>
      <c r="G5" s="45" t="e">
        <f>#REF!</f>
        <v>#REF!</v>
      </c>
      <c r="H5" s="309" t="s">
        <v>454</v>
      </c>
      <c r="I5" s="26">
        <v>0.1</v>
      </c>
      <c r="J5" s="89" t="e">
        <f t="shared" si="0"/>
        <v>#REF!</v>
      </c>
      <c r="K5" s="74" t="s">
        <v>455</v>
      </c>
      <c r="L5" s="26">
        <v>0.3</v>
      </c>
      <c r="M5" s="26" t="e">
        <f t="shared" si="2"/>
        <v>#REF!</v>
      </c>
      <c r="N5" s="74" t="s">
        <v>455</v>
      </c>
      <c r="O5" s="310" t="e">
        <f t="shared" si="1"/>
        <v>#REF!</v>
      </c>
      <c r="P5" s="89" t="e">
        <f t="shared" ref="P5" si="5">M5*F5</f>
        <v>#REF!</v>
      </c>
      <c r="Q5" s="77" t="e">
        <f t="shared" ref="Q5" si="6">F5*G5</f>
        <v>#REF!</v>
      </c>
      <c r="R5" s="25"/>
      <c r="S5" s="1"/>
    </row>
    <row r="6" spans="1:19" ht="14.5" x14ac:dyDescent="0.7">
      <c r="A6" s="308"/>
      <c r="B6" s="284"/>
      <c r="C6" t="s">
        <v>440</v>
      </c>
      <c r="D6" s="301" t="s">
        <v>443</v>
      </c>
      <c r="E6" s="69" t="e">
        <f>#REF!</f>
        <v>#REF!</v>
      </c>
      <c r="F6" s="49" t="e">
        <f>E6/E47</f>
        <v>#REF!</v>
      </c>
      <c r="G6" s="45" t="e">
        <f>#REF!</f>
        <v>#REF!</v>
      </c>
      <c r="H6" s="18" t="s">
        <v>396</v>
      </c>
      <c r="I6" s="26">
        <v>0.1</v>
      </c>
      <c r="J6" s="89" t="e">
        <f t="shared" si="0"/>
        <v>#REF!</v>
      </c>
      <c r="K6" s="74"/>
      <c r="L6" s="26">
        <v>0.3</v>
      </c>
      <c r="M6" s="26" t="e">
        <f>L6*G6</f>
        <v>#REF!</v>
      </c>
      <c r="N6" s="75"/>
      <c r="O6" s="311" t="e">
        <f t="shared" si="1"/>
        <v>#REF!</v>
      </c>
      <c r="P6" s="89" t="e">
        <f>M6*F6</f>
        <v>#REF!</v>
      </c>
      <c r="Q6" s="77" t="e">
        <f>F6*G6</f>
        <v>#REF!</v>
      </c>
      <c r="R6" s="25"/>
      <c r="S6" s="1"/>
    </row>
    <row r="7" spans="1:19" ht="14.5" x14ac:dyDescent="0.65">
      <c r="A7" s="308"/>
      <c r="B7" s="284"/>
      <c r="C7" t="s">
        <v>441</v>
      </c>
      <c r="D7" s="301" t="s">
        <v>442</v>
      </c>
      <c r="E7" s="69" t="e">
        <f>#REF!</f>
        <v>#REF!</v>
      </c>
      <c r="F7" s="49" t="e">
        <f>E7/E47</f>
        <v>#REF!</v>
      </c>
      <c r="G7" s="45" t="e">
        <f>#REF!</f>
        <v>#REF!</v>
      </c>
      <c r="H7" s="18" t="s">
        <v>396</v>
      </c>
      <c r="I7" s="26">
        <v>0.1</v>
      </c>
      <c r="J7" s="89" t="e">
        <f t="shared" si="0"/>
        <v>#REF!</v>
      </c>
      <c r="K7" s="74"/>
      <c r="L7" s="26">
        <v>0.3</v>
      </c>
      <c r="M7" s="26" t="e">
        <f>L7*G7</f>
        <v>#REF!</v>
      </c>
      <c r="N7" s="75"/>
      <c r="O7" s="311" t="e">
        <f t="shared" si="1"/>
        <v>#REF!</v>
      </c>
      <c r="P7" s="89" t="e">
        <f>M7*F7</f>
        <v>#REF!</v>
      </c>
      <c r="Q7" s="77" t="e">
        <f>F7*G7</f>
        <v>#REF!</v>
      </c>
    </row>
    <row r="8" spans="1:19" ht="14.5" x14ac:dyDescent="0.65">
      <c r="A8" s="308"/>
      <c r="B8" s="284"/>
      <c r="C8" t="s">
        <v>403</v>
      </c>
      <c r="D8" s="284" t="s">
        <v>404</v>
      </c>
      <c r="E8" s="69" t="e">
        <f>#REF!</f>
        <v>#REF!</v>
      </c>
      <c r="F8" s="169" t="e">
        <f>E8/$E$47</f>
        <v>#REF!</v>
      </c>
      <c r="G8" s="45" t="e">
        <f>#REF!</f>
        <v>#REF!</v>
      </c>
      <c r="H8" s="285" t="s">
        <v>396</v>
      </c>
      <c r="I8" s="26" t="e">
        <f>#REF!</f>
        <v>#REF!</v>
      </c>
      <c r="J8" s="26" t="e">
        <f t="shared" ref="J8:J46" si="7">I8*G8</f>
        <v>#REF!</v>
      </c>
      <c r="K8" s="26"/>
      <c r="L8" s="173" t="e">
        <f>#REF!</f>
        <v>#REF!</v>
      </c>
      <c r="M8" s="26" t="e">
        <f>L8*G8</f>
        <v>#REF!</v>
      </c>
      <c r="N8" s="36"/>
      <c r="O8" s="82" t="e">
        <f t="shared" ref="O8:O46" si="8">J8*F8</f>
        <v>#REF!</v>
      </c>
      <c r="P8" s="129" t="e">
        <f t="shared" si="3"/>
        <v>#REF!</v>
      </c>
      <c r="Q8" s="83" t="e">
        <f t="shared" si="4"/>
        <v>#REF!</v>
      </c>
    </row>
    <row r="9" spans="1:19" ht="14.5" x14ac:dyDescent="0.7">
      <c r="A9" s="308"/>
      <c r="B9" s="284"/>
      <c r="C9" t="s">
        <v>425</v>
      </c>
      <c r="D9" s="284" t="s">
        <v>426</v>
      </c>
      <c r="E9" s="69" t="e">
        <f>#REF!</f>
        <v>#REF!</v>
      </c>
      <c r="F9" s="169" t="e">
        <f>E9/E47</f>
        <v>#REF!</v>
      </c>
      <c r="G9" s="45" t="e">
        <f>#REF!</f>
        <v>#REF!</v>
      </c>
      <c r="H9" s="285" t="s">
        <v>428</v>
      </c>
      <c r="I9" s="26">
        <v>0.2</v>
      </c>
      <c r="J9" s="26" t="e">
        <f t="shared" si="7"/>
        <v>#REF!</v>
      </c>
      <c r="K9" s="305" t="s">
        <v>427</v>
      </c>
      <c r="L9" s="173">
        <v>0.6</v>
      </c>
      <c r="M9" s="26" t="e">
        <f>L9*G9</f>
        <v>#REF!</v>
      </c>
      <c r="N9" s="305" t="s">
        <v>427</v>
      </c>
      <c r="O9" s="82" t="e">
        <f>J9*F9</f>
        <v>#REF!</v>
      </c>
      <c r="P9" s="129" t="e">
        <f t="shared" si="3"/>
        <v>#REF!</v>
      </c>
      <c r="Q9" s="83" t="e">
        <f t="shared" si="4"/>
        <v>#REF!</v>
      </c>
      <c r="R9" s="25"/>
      <c r="S9" s="1"/>
    </row>
    <row r="10" spans="1:19" ht="14.5" x14ac:dyDescent="0.7">
      <c r="A10" s="308"/>
      <c r="B10" s="303"/>
      <c r="C10" t="s">
        <v>429</v>
      </c>
      <c r="D10" s="284" t="s">
        <v>430</v>
      </c>
      <c r="E10" s="69" t="e">
        <f>#REF!</f>
        <v>#REF!</v>
      </c>
      <c r="F10" s="169" t="e">
        <f>E10/E47</f>
        <v>#REF!</v>
      </c>
      <c r="G10" s="45" t="e">
        <f>#REF!</f>
        <v>#REF!</v>
      </c>
      <c r="H10" s="285" t="s">
        <v>428</v>
      </c>
      <c r="I10" s="26">
        <v>0.2</v>
      </c>
      <c r="J10" s="26" t="e">
        <f>I10*G10</f>
        <v>#REF!</v>
      </c>
      <c r="K10" s="305" t="s">
        <v>427</v>
      </c>
      <c r="L10" s="173">
        <v>0.6</v>
      </c>
      <c r="M10" s="26" t="e">
        <f>L10*G10</f>
        <v>#REF!</v>
      </c>
      <c r="N10" s="305" t="s">
        <v>427</v>
      </c>
      <c r="O10" s="82" t="e">
        <f>J10*F10</f>
        <v>#REF!</v>
      </c>
      <c r="P10" s="129" t="e">
        <f t="shared" si="3"/>
        <v>#REF!</v>
      </c>
      <c r="Q10" s="83" t="e">
        <f t="shared" si="4"/>
        <v>#REF!</v>
      </c>
      <c r="R10" s="25"/>
      <c r="S10" s="1"/>
    </row>
    <row r="11" spans="1:19" ht="14.5" x14ac:dyDescent="0.7">
      <c r="A11" s="308"/>
      <c r="B11" s="302" t="s">
        <v>48</v>
      </c>
      <c r="C11" s="13" t="s">
        <v>49</v>
      </c>
      <c r="D11" s="51" t="s">
        <v>50</v>
      </c>
      <c r="E11" s="68" t="e">
        <f>SUM(#REF!)</f>
        <v>#REF!</v>
      </c>
      <c r="F11" s="52" t="e">
        <f t="shared" ref="F11:F18" si="9">E11/$E$47</f>
        <v>#REF!</v>
      </c>
      <c r="G11" s="44">
        <v>0.14000000000000001</v>
      </c>
      <c r="H11" s="94" t="s">
        <v>51</v>
      </c>
      <c r="I11" s="29" t="e">
        <f>#REF!</f>
        <v>#REF!</v>
      </c>
      <c r="J11" s="29" t="e">
        <f t="shared" si="7"/>
        <v>#REF!</v>
      </c>
      <c r="K11" s="40" t="s">
        <v>52</v>
      </c>
      <c r="L11" s="29" t="e">
        <f>#REF!</f>
        <v>#REF!</v>
      </c>
      <c r="M11" s="29" t="e">
        <f t="shared" si="2"/>
        <v>#REF!</v>
      </c>
      <c r="N11" s="52" t="s">
        <v>52</v>
      </c>
      <c r="O11" s="76" t="e">
        <f t="shared" si="8"/>
        <v>#REF!</v>
      </c>
      <c r="P11" s="89" t="e">
        <f t="shared" si="3"/>
        <v>#REF!</v>
      </c>
      <c r="Q11" s="77" t="e">
        <f t="shared" si="4"/>
        <v>#REF!</v>
      </c>
      <c r="R11" s="25"/>
      <c r="S11" s="1"/>
    </row>
    <row r="12" spans="1:19" ht="14.5" x14ac:dyDescent="0.7">
      <c r="A12" s="308"/>
      <c r="B12" s="284"/>
      <c r="C12" t="s">
        <v>53</v>
      </c>
      <c r="D12" s="50" t="s">
        <v>54</v>
      </c>
      <c r="E12" s="69" t="e">
        <f>#REF!</f>
        <v>#REF!</v>
      </c>
      <c r="F12" s="49" t="e">
        <f t="shared" si="9"/>
        <v>#REF!</v>
      </c>
      <c r="G12" s="45" t="e">
        <f>#REF!</f>
        <v>#REF!</v>
      </c>
      <c r="H12" s="92" t="s">
        <v>41</v>
      </c>
      <c r="I12" s="26" t="e">
        <f>#REF!</f>
        <v>#REF!</v>
      </c>
      <c r="J12" s="26" t="e">
        <f t="shared" si="7"/>
        <v>#REF!</v>
      </c>
      <c r="K12" s="26"/>
      <c r="L12" s="26" t="e">
        <f>#REF!</f>
        <v>#REF!</v>
      </c>
      <c r="M12" s="26" t="e">
        <f t="shared" si="2"/>
        <v>#REF!</v>
      </c>
      <c r="N12" s="36"/>
      <c r="O12" s="76" t="e">
        <f t="shared" si="8"/>
        <v>#REF!</v>
      </c>
      <c r="P12" s="89" t="e">
        <f t="shared" si="3"/>
        <v>#REF!</v>
      </c>
      <c r="Q12" s="77" t="e">
        <f t="shared" si="4"/>
        <v>#REF!</v>
      </c>
      <c r="R12" s="25"/>
      <c r="S12" s="1"/>
    </row>
    <row r="13" spans="1:19" ht="42.75" x14ac:dyDescent="0.65">
      <c r="A13" s="308"/>
      <c r="B13" s="284"/>
      <c r="C13" s="9" t="s">
        <v>378</v>
      </c>
      <c r="D13" s="51" t="s">
        <v>545</v>
      </c>
      <c r="E13" s="69">
        <v>176881.75874538312</v>
      </c>
      <c r="F13" s="49" t="e">
        <f t="shared" si="9"/>
        <v>#REF!</v>
      </c>
      <c r="G13" s="45">
        <v>0.03</v>
      </c>
      <c r="H13" s="167" t="s">
        <v>375</v>
      </c>
      <c r="I13" s="173" t="e">
        <f>#REF!</f>
        <v>#REF!</v>
      </c>
      <c r="J13" s="173" t="e">
        <f>I13*G13</f>
        <v>#REF!</v>
      </c>
      <c r="K13" s="26"/>
      <c r="L13" s="26" t="e">
        <f>#REF!</f>
        <v>#REF!</v>
      </c>
      <c r="M13" s="173" t="e">
        <f>L13*G13</f>
        <v>#REF!</v>
      </c>
      <c r="N13" s="36"/>
      <c r="O13" s="76" t="e">
        <f>J13*F13</f>
        <v>#REF!</v>
      </c>
      <c r="P13" s="89" t="e">
        <f>M13*F13</f>
        <v>#REF!</v>
      </c>
      <c r="Q13" s="77" t="e">
        <f>F13*G13</f>
        <v>#REF!</v>
      </c>
      <c r="S13" s="27"/>
    </row>
    <row r="14" spans="1:19" ht="28.5" x14ac:dyDescent="0.65">
      <c r="A14" s="308"/>
      <c r="B14" s="284"/>
      <c r="C14" t="s">
        <v>379</v>
      </c>
      <c r="D14" s="48" t="s">
        <v>371</v>
      </c>
      <c r="E14" s="69" t="e">
        <f xml:space="preserve"> SUM(#REF!,#REF!)</f>
        <v>#REF!</v>
      </c>
      <c r="F14" s="169" t="e">
        <f t="shared" si="9"/>
        <v>#REF!</v>
      </c>
      <c r="G14" s="45">
        <f>Buildings!M74</f>
        <v>3.2484076433121019E-2</v>
      </c>
      <c r="H14" s="96" t="s">
        <v>376</v>
      </c>
      <c r="I14" s="26" t="e">
        <f>#REF!</f>
        <v>#REF!</v>
      </c>
      <c r="J14" s="26" t="e">
        <f>I14*G14</f>
        <v>#REF!</v>
      </c>
      <c r="K14" s="26"/>
      <c r="L14" s="26" t="e">
        <f>#REF!</f>
        <v>#REF!</v>
      </c>
      <c r="M14" s="26" t="e">
        <f t="shared" si="2"/>
        <v>#REF!</v>
      </c>
      <c r="N14" s="36"/>
      <c r="O14" s="76" t="e">
        <f t="shared" si="8"/>
        <v>#REF!</v>
      </c>
      <c r="P14" s="89" t="e">
        <f>M14*F14</f>
        <v>#REF!</v>
      </c>
      <c r="Q14" s="77" t="e">
        <f t="shared" si="4"/>
        <v>#REF!</v>
      </c>
    </row>
    <row r="15" spans="1:19" ht="14.5" x14ac:dyDescent="0.65">
      <c r="A15" s="308"/>
      <c r="B15" s="284"/>
      <c r="C15" t="s">
        <v>4</v>
      </c>
      <c r="D15" s="48" t="s">
        <v>55</v>
      </c>
      <c r="E15" s="69" t="e">
        <f>#REF!</f>
        <v>#REF!</v>
      </c>
      <c r="F15" s="49" t="e">
        <f t="shared" si="9"/>
        <v>#REF!</v>
      </c>
      <c r="G15" s="45">
        <v>0.08</v>
      </c>
      <c r="H15" s="96" t="s">
        <v>51</v>
      </c>
      <c r="I15" s="26" t="e">
        <f>#REF!</f>
        <v>#REF!</v>
      </c>
      <c r="J15" s="26" t="e">
        <f t="shared" si="7"/>
        <v>#REF!</v>
      </c>
      <c r="K15" s="26"/>
      <c r="L15" s="26" t="e">
        <f>#REF!</f>
        <v>#REF!</v>
      </c>
      <c r="M15" s="26" t="e">
        <f t="shared" si="2"/>
        <v>#REF!</v>
      </c>
      <c r="N15" s="36"/>
      <c r="O15" s="76" t="e">
        <f>J15*F15</f>
        <v>#REF!</v>
      </c>
      <c r="P15" s="89" t="e">
        <f t="shared" si="3"/>
        <v>#REF!</v>
      </c>
      <c r="Q15" s="77" t="e">
        <f t="shared" si="4"/>
        <v>#REF!</v>
      </c>
    </row>
    <row r="16" spans="1:19" ht="28.5" x14ac:dyDescent="0.65">
      <c r="A16" s="308"/>
      <c r="B16" s="284"/>
      <c r="C16" t="s">
        <v>395</v>
      </c>
      <c r="D16" s="48" t="s">
        <v>371</v>
      </c>
      <c r="E16" s="69" t="e">
        <f xml:space="preserve"> SUM(#REF!,#REF!)</f>
        <v>#REF!</v>
      </c>
      <c r="F16" s="169" t="e">
        <f t="shared" si="9"/>
        <v>#REF!</v>
      </c>
      <c r="G16" s="45" t="e">
        <f>#REF!</f>
        <v>#REF!</v>
      </c>
      <c r="H16" s="96" t="s">
        <v>41</v>
      </c>
      <c r="I16" s="251" t="e">
        <f>#REF!</f>
        <v>#REF!</v>
      </c>
      <c r="J16" s="26" t="e">
        <f>I16*G16</f>
        <v>#REF!</v>
      </c>
      <c r="K16" s="26"/>
      <c r="L16" s="26" t="e">
        <f>#REF!</f>
        <v>#REF!</v>
      </c>
      <c r="M16" s="26" t="e">
        <f>L16*G16</f>
        <v>#REF!</v>
      </c>
      <c r="N16" s="36"/>
      <c r="O16" s="76" t="e">
        <f>J16*F16</f>
        <v>#REF!</v>
      </c>
      <c r="P16" s="89" t="e">
        <f>M16*F16</f>
        <v>#REF!</v>
      </c>
      <c r="Q16" s="77" t="e">
        <f>F16*G16</f>
        <v>#REF!</v>
      </c>
    </row>
    <row r="17" spans="1:19" ht="14.5" x14ac:dyDescent="0.65">
      <c r="A17" s="308"/>
      <c r="B17" s="303"/>
      <c r="C17" s="100" t="s">
        <v>56</v>
      </c>
      <c r="D17" s="58" t="s">
        <v>54</v>
      </c>
      <c r="E17" s="70" t="e">
        <f>#REF!</f>
        <v>#REF!</v>
      </c>
      <c r="F17" s="53" t="e">
        <f t="shared" si="9"/>
        <v>#REF!</v>
      </c>
      <c r="G17" s="46" t="e">
        <f>#REF!</f>
        <v>#REF!</v>
      </c>
      <c r="H17" s="97" t="s">
        <v>41</v>
      </c>
      <c r="I17" s="31" t="e">
        <f>#REF!</f>
        <v>#REF!</v>
      </c>
      <c r="J17" s="31" t="e">
        <f t="shared" si="7"/>
        <v>#REF!</v>
      </c>
      <c r="K17" s="31"/>
      <c r="L17" s="31" t="e">
        <f>#REF!</f>
        <v>#REF!</v>
      </c>
      <c r="M17" s="31" t="e">
        <f t="shared" si="2"/>
        <v>#REF!</v>
      </c>
      <c r="N17" s="37"/>
      <c r="O17" s="76" t="e">
        <f>J17*F17</f>
        <v>#REF!</v>
      </c>
      <c r="P17" s="89" t="e">
        <f t="shared" si="3"/>
        <v>#REF!</v>
      </c>
      <c r="Q17" s="77" t="e">
        <f>F17*G17</f>
        <v>#REF!</v>
      </c>
    </row>
    <row r="18" spans="1:19" ht="14.5" x14ac:dyDescent="0.65">
      <c r="A18" s="308"/>
      <c r="B18" s="1702" t="s">
        <v>57</v>
      </c>
      <c r="C18" t="s">
        <v>5</v>
      </c>
      <c r="D18" s="50" t="s">
        <v>58</v>
      </c>
      <c r="E18" s="72" t="e">
        <f>#REF!</f>
        <v>#REF!</v>
      </c>
      <c r="F18" s="49" t="e">
        <f t="shared" si="9"/>
        <v>#REF!</v>
      </c>
      <c r="G18" s="45" t="e">
        <f>#REF!</f>
        <v>#REF!</v>
      </c>
      <c r="H18" s="97" t="s">
        <v>424</v>
      </c>
      <c r="I18" s="26" t="e">
        <f>#REF!</f>
        <v>#REF!</v>
      </c>
      <c r="J18" s="26" t="e">
        <f t="shared" si="7"/>
        <v>#REF!</v>
      </c>
      <c r="K18" s="26"/>
      <c r="L18" s="26" t="e">
        <f>#REF!</f>
        <v>#REF!</v>
      </c>
      <c r="M18" s="26" t="e">
        <f>L18*G18</f>
        <v>#REF!</v>
      </c>
      <c r="N18" s="36"/>
      <c r="O18" s="78" t="e">
        <f t="shared" si="8"/>
        <v>#REF!</v>
      </c>
      <c r="P18" s="130" t="e">
        <f t="shared" si="3"/>
        <v>#REF!</v>
      </c>
      <c r="Q18" s="79" t="e">
        <f t="shared" si="4"/>
        <v>#REF!</v>
      </c>
    </row>
    <row r="19" spans="1:19" ht="14.5" x14ac:dyDescent="0.65">
      <c r="A19" s="308"/>
      <c r="B19" s="1702"/>
      <c r="C19" s="59" t="s">
        <v>59</v>
      </c>
      <c r="D19" s="60"/>
      <c r="E19" s="71"/>
      <c r="F19" s="61"/>
      <c r="G19" s="64"/>
      <c r="H19" s="93"/>
      <c r="I19" s="170"/>
      <c r="J19" s="26">
        <f t="shared" si="7"/>
        <v>0</v>
      </c>
      <c r="K19" s="170"/>
      <c r="L19" s="170"/>
      <c r="M19" s="63">
        <f t="shared" si="2"/>
        <v>0</v>
      </c>
      <c r="N19" s="65"/>
      <c r="O19" s="80">
        <f t="shared" si="8"/>
        <v>0</v>
      </c>
      <c r="P19" s="128">
        <f t="shared" si="3"/>
        <v>0</v>
      </c>
      <c r="Q19" s="81">
        <f t="shared" si="4"/>
        <v>0</v>
      </c>
    </row>
    <row r="20" spans="1:19" ht="14.25" customHeight="1" x14ac:dyDescent="0.7">
      <c r="A20" s="308"/>
      <c r="B20" s="1702"/>
      <c r="C20" s="90" t="s">
        <v>60</v>
      </c>
      <c r="D20" s="101"/>
      <c r="E20" s="102"/>
      <c r="F20" s="103"/>
      <c r="G20" s="104"/>
      <c r="H20" s="105"/>
      <c r="I20" s="26"/>
      <c r="J20" s="26">
        <f t="shared" si="7"/>
        <v>0</v>
      </c>
      <c r="K20" s="26"/>
      <c r="L20" s="26"/>
      <c r="M20" s="106">
        <f t="shared" si="2"/>
        <v>0</v>
      </c>
      <c r="N20" s="107"/>
      <c r="O20" s="108">
        <f t="shared" si="8"/>
        <v>0</v>
      </c>
      <c r="P20" s="127">
        <f t="shared" si="3"/>
        <v>0</v>
      </c>
      <c r="Q20" s="134">
        <f t="shared" si="4"/>
        <v>0</v>
      </c>
      <c r="R20" s="30"/>
      <c r="S20" s="16"/>
    </row>
    <row r="21" spans="1:19" ht="14.5" x14ac:dyDescent="0.7">
      <c r="A21" s="308"/>
      <c r="B21" s="1702"/>
      <c r="C21" s="90" t="s">
        <v>61</v>
      </c>
      <c r="D21" s="101"/>
      <c r="E21" s="102"/>
      <c r="F21" s="103"/>
      <c r="G21" s="104"/>
      <c r="H21" s="105"/>
      <c r="I21" s="26"/>
      <c r="J21" s="26">
        <f t="shared" si="7"/>
        <v>0</v>
      </c>
      <c r="K21" s="26"/>
      <c r="L21" s="26"/>
      <c r="M21" s="106">
        <f t="shared" si="2"/>
        <v>0</v>
      </c>
      <c r="N21" s="107"/>
      <c r="O21" s="124">
        <f t="shared" si="8"/>
        <v>0</v>
      </c>
      <c r="P21" s="132">
        <f t="shared" si="3"/>
        <v>0</v>
      </c>
      <c r="Q21" s="133">
        <f t="shared" si="4"/>
        <v>0</v>
      </c>
      <c r="R21" s="25"/>
      <c r="S21" s="1"/>
    </row>
    <row r="22" spans="1:19" ht="14.5" x14ac:dyDescent="0.7">
      <c r="A22" s="308"/>
      <c r="B22" s="1701" t="s">
        <v>62</v>
      </c>
      <c r="C22" s="13" t="s">
        <v>63</v>
      </c>
      <c r="D22" s="48" t="s">
        <v>55</v>
      </c>
      <c r="E22" s="288" t="e">
        <f>#REF!</f>
        <v>#REF!</v>
      </c>
      <c r="F22" s="169" t="e">
        <f>E22/$E$47</f>
        <v>#REF!</v>
      </c>
      <c r="G22" s="289">
        <f>Buildings!B71</f>
        <v>0.1535</v>
      </c>
      <c r="H22" s="290" t="s">
        <v>416</v>
      </c>
      <c r="I22" s="171" t="e">
        <f>#REF!</f>
        <v>#REF!</v>
      </c>
      <c r="J22" s="29" t="e">
        <f t="shared" si="7"/>
        <v>#REF!</v>
      </c>
      <c r="K22" s="171"/>
      <c r="L22" s="171" t="e">
        <f>#REF!</f>
        <v>#REF!</v>
      </c>
      <c r="M22" s="29" t="e">
        <f>L22*G22</f>
        <v>#REF!</v>
      </c>
      <c r="N22" s="291"/>
      <c r="O22" s="76" t="e">
        <f t="shared" si="8"/>
        <v>#REF!</v>
      </c>
      <c r="P22" s="89" t="e">
        <f t="shared" si="3"/>
        <v>#REF!</v>
      </c>
      <c r="Q22" s="77" t="e">
        <f t="shared" si="4"/>
        <v>#REF!</v>
      </c>
      <c r="R22" s="25"/>
      <c r="S22" s="1"/>
    </row>
    <row r="23" spans="1:19" ht="14.5" x14ac:dyDescent="0.7">
      <c r="A23" s="308"/>
      <c r="B23" s="1702"/>
      <c r="C23" s="90" t="s">
        <v>64</v>
      </c>
      <c r="D23" s="101"/>
      <c r="E23" s="112"/>
      <c r="F23" s="103"/>
      <c r="G23" s="113"/>
      <c r="H23" s="114"/>
      <c r="I23" s="28"/>
      <c r="J23" s="26">
        <f t="shared" si="7"/>
        <v>0</v>
      </c>
      <c r="K23" s="28"/>
      <c r="L23" s="28"/>
      <c r="M23" s="106">
        <f t="shared" si="2"/>
        <v>0</v>
      </c>
      <c r="N23" s="115"/>
      <c r="O23" s="108">
        <f t="shared" si="8"/>
        <v>0</v>
      </c>
      <c r="P23" s="127">
        <f t="shared" si="3"/>
        <v>0</v>
      </c>
      <c r="Q23" s="134">
        <f t="shared" si="4"/>
        <v>0</v>
      </c>
      <c r="R23" s="25"/>
      <c r="S23" s="1"/>
    </row>
    <row r="24" spans="1:19" ht="14.5" x14ac:dyDescent="0.7">
      <c r="A24" s="304"/>
      <c r="B24" s="1705"/>
      <c r="C24" s="116" t="s">
        <v>65</v>
      </c>
      <c r="D24" s="117"/>
      <c r="E24" s="118"/>
      <c r="F24" s="119"/>
      <c r="G24" s="120"/>
      <c r="H24" s="121"/>
      <c r="I24" s="172"/>
      <c r="J24" s="31">
        <f t="shared" si="7"/>
        <v>0</v>
      </c>
      <c r="K24" s="172"/>
      <c r="L24" s="172"/>
      <c r="M24" s="122">
        <f t="shared" si="2"/>
        <v>0</v>
      </c>
      <c r="N24" s="123"/>
      <c r="O24" s="108">
        <f t="shared" si="8"/>
        <v>0</v>
      </c>
      <c r="P24" s="127">
        <f t="shared" si="3"/>
        <v>0</v>
      </c>
      <c r="Q24" s="134">
        <f t="shared" si="4"/>
        <v>0</v>
      </c>
      <c r="R24" s="25"/>
      <c r="S24" s="1"/>
    </row>
    <row r="25" spans="1:19" ht="14.5" x14ac:dyDescent="0.7">
      <c r="A25" s="1703" t="s">
        <v>6</v>
      </c>
      <c r="B25" s="1704" t="s">
        <v>7</v>
      </c>
      <c r="C25" s="244" t="s">
        <v>66</v>
      </c>
      <c r="D25" s="245"/>
      <c r="E25" s="246"/>
      <c r="F25" s="247"/>
      <c r="G25" s="248"/>
      <c r="H25" s="249"/>
      <c r="I25" s="26"/>
      <c r="J25" s="26">
        <f t="shared" si="7"/>
        <v>0</v>
      </c>
      <c r="K25" s="26"/>
      <c r="L25" s="26"/>
      <c r="M25" s="63">
        <f t="shared" si="2"/>
        <v>0</v>
      </c>
      <c r="N25" s="62"/>
      <c r="O25" s="84">
        <f t="shared" si="8"/>
        <v>0</v>
      </c>
      <c r="P25" s="135">
        <f t="shared" si="3"/>
        <v>0</v>
      </c>
      <c r="Q25" s="85">
        <f t="shared" si="4"/>
        <v>0</v>
      </c>
      <c r="R25" s="25"/>
      <c r="S25" s="25"/>
    </row>
    <row r="26" spans="1:19" ht="14.5" x14ac:dyDescent="0.65">
      <c r="A26" s="1703"/>
      <c r="B26" s="1704"/>
      <c r="C26" t="s">
        <v>9</v>
      </c>
      <c r="D26" s="48" t="s">
        <v>8</v>
      </c>
      <c r="E26" s="69" t="e">
        <f>#REF!</f>
        <v>#REF!</v>
      </c>
      <c r="F26" s="49" t="e">
        <f t="shared" ref="F26:F31" si="10">E26/$E$47</f>
        <v>#REF!</v>
      </c>
      <c r="G26" s="45" t="e">
        <f>#REF!</f>
        <v>#REF!</v>
      </c>
      <c r="H26" s="95"/>
      <c r="I26" s="26" t="e">
        <f>#REF!</f>
        <v>#REF!</v>
      </c>
      <c r="J26" s="26" t="e">
        <f>I26*G26</f>
        <v>#REF!</v>
      </c>
      <c r="K26" s="26"/>
      <c r="L26" s="173" t="e">
        <f>'Tribal Measure Tool'!#REF!</f>
        <v>#REF!</v>
      </c>
      <c r="M26" s="26" t="e">
        <f>L26*G26</f>
        <v>#REF!</v>
      </c>
      <c r="N26" s="36"/>
      <c r="O26" s="76" t="e">
        <f t="shared" si="8"/>
        <v>#REF!</v>
      </c>
      <c r="P26" s="89" t="e">
        <f t="shared" si="3"/>
        <v>#REF!</v>
      </c>
      <c r="Q26" s="77" t="e">
        <f t="shared" si="4"/>
        <v>#REF!</v>
      </c>
    </row>
    <row r="27" spans="1:19" ht="14.5" x14ac:dyDescent="0.65">
      <c r="A27" s="1703"/>
      <c r="B27" s="1704"/>
      <c r="C27" t="s">
        <v>11</v>
      </c>
      <c r="D27" s="48" t="s">
        <v>10</v>
      </c>
      <c r="E27" s="69" t="e">
        <f>#REF!</f>
        <v>#REF!</v>
      </c>
      <c r="F27" s="49" t="e">
        <f t="shared" si="10"/>
        <v>#REF!</v>
      </c>
      <c r="G27" s="45" t="e">
        <f>#REF!</f>
        <v>#REF!</v>
      </c>
      <c r="H27" s="95"/>
      <c r="I27" s="26" t="e">
        <f>#REF!</f>
        <v>#REF!</v>
      </c>
      <c r="J27" s="26" t="e">
        <f t="shared" si="7"/>
        <v>#REF!</v>
      </c>
      <c r="K27" s="26"/>
      <c r="L27" s="173" t="e">
        <f>'Tribal Measure Tool'!#REF!</f>
        <v>#REF!</v>
      </c>
      <c r="M27" s="26" t="e">
        <f t="shared" si="2"/>
        <v>#REF!</v>
      </c>
      <c r="N27" s="36"/>
      <c r="O27" s="76" t="e">
        <f t="shared" si="8"/>
        <v>#REF!</v>
      </c>
      <c r="P27" s="89" t="e">
        <f t="shared" si="3"/>
        <v>#REF!</v>
      </c>
      <c r="Q27" s="77" t="e">
        <f t="shared" si="4"/>
        <v>#REF!</v>
      </c>
    </row>
    <row r="28" spans="1:19" ht="14.5" x14ac:dyDescent="0.65">
      <c r="A28" s="1703"/>
      <c r="B28" s="1704"/>
      <c r="C28" t="s">
        <v>13</v>
      </c>
      <c r="D28" s="48" t="s">
        <v>12</v>
      </c>
      <c r="E28" s="69" t="e">
        <f>#REF!</f>
        <v>#REF!</v>
      </c>
      <c r="F28" s="49" t="e">
        <f t="shared" si="10"/>
        <v>#REF!</v>
      </c>
      <c r="G28" s="45" t="e">
        <f>#REF!</f>
        <v>#REF!</v>
      </c>
      <c r="H28" s="95"/>
      <c r="I28" s="26" t="e">
        <f>#REF!</f>
        <v>#REF!</v>
      </c>
      <c r="J28" s="26" t="e">
        <f>I28*G28</f>
        <v>#REF!</v>
      </c>
      <c r="K28" s="26"/>
      <c r="L28" s="173" t="e">
        <f>'Tribal Measure Tool'!#REF!</f>
        <v>#REF!</v>
      </c>
      <c r="M28" s="26" t="e">
        <f t="shared" si="2"/>
        <v>#REF!</v>
      </c>
      <c r="N28" s="36"/>
      <c r="O28" s="82" t="e">
        <f t="shared" si="8"/>
        <v>#REF!</v>
      </c>
      <c r="P28" s="129" t="e">
        <f t="shared" si="3"/>
        <v>#REF!</v>
      </c>
      <c r="Q28" s="83" t="e">
        <f t="shared" si="4"/>
        <v>#REF!</v>
      </c>
    </row>
    <row r="29" spans="1:19" ht="14.5" x14ac:dyDescent="0.65">
      <c r="A29" s="1703"/>
      <c r="B29" s="1701" t="s">
        <v>14</v>
      </c>
      <c r="C29" s="13" t="s">
        <v>15</v>
      </c>
      <c r="D29" s="1701" t="s">
        <v>10</v>
      </c>
      <c r="E29" s="91" t="e">
        <f>#REF!</f>
        <v>#REF!</v>
      </c>
      <c r="F29" s="52" t="e">
        <f t="shared" si="10"/>
        <v>#REF!</v>
      </c>
      <c r="G29" s="44">
        <f>Transportation!C15</f>
        <v>0.1</v>
      </c>
      <c r="H29" s="296" t="s">
        <v>419</v>
      </c>
      <c r="I29" s="29" t="e">
        <f>#REF!</f>
        <v>#REF!</v>
      </c>
      <c r="J29" s="29" t="e">
        <f t="shared" si="7"/>
        <v>#REF!</v>
      </c>
      <c r="K29" s="29"/>
      <c r="L29" s="29" t="e">
        <f>#REF!</f>
        <v>#REF!</v>
      </c>
      <c r="M29" s="29" t="e">
        <f>L29*G29</f>
        <v>#REF!</v>
      </c>
      <c r="N29" s="35"/>
      <c r="O29" s="76" t="e">
        <f t="shared" si="8"/>
        <v>#REF!</v>
      </c>
      <c r="P29" s="89" t="e">
        <f t="shared" si="3"/>
        <v>#REF!</v>
      </c>
      <c r="Q29" s="77" t="e">
        <f t="shared" si="4"/>
        <v>#REF!</v>
      </c>
    </row>
    <row r="30" spans="1:19" ht="14.5" x14ac:dyDescent="0.7">
      <c r="A30" s="1703"/>
      <c r="B30" s="1702"/>
      <c r="C30" t="s">
        <v>16</v>
      </c>
      <c r="D30" s="1702"/>
      <c r="E30" s="126" t="e">
        <f>#REF!</f>
        <v>#REF!</v>
      </c>
      <c r="F30" s="49" t="e">
        <f t="shared" si="10"/>
        <v>#REF!</v>
      </c>
      <c r="G30" s="125" t="e">
        <f>#REF!</f>
        <v>#REF!</v>
      </c>
      <c r="H30" s="95"/>
      <c r="I30" s="26" t="e">
        <f>#REF!</f>
        <v>#REF!</v>
      </c>
      <c r="J30" s="26" t="e">
        <f t="shared" si="7"/>
        <v>#REF!</v>
      </c>
      <c r="K30" s="26"/>
      <c r="L30" s="26" t="e">
        <f>#REF!</f>
        <v>#REF!</v>
      </c>
      <c r="M30" s="26" t="e">
        <f t="shared" si="2"/>
        <v>#REF!</v>
      </c>
      <c r="N30" s="36"/>
      <c r="O30" s="76" t="e">
        <f t="shared" si="8"/>
        <v>#REF!</v>
      </c>
      <c r="P30" s="89" t="e">
        <f t="shared" si="3"/>
        <v>#REF!</v>
      </c>
      <c r="Q30" s="77" t="e">
        <f t="shared" si="4"/>
        <v>#REF!</v>
      </c>
      <c r="R30" s="25"/>
      <c r="S30" s="16"/>
    </row>
    <row r="31" spans="1:19" s="90" customFormat="1" ht="14.5" x14ac:dyDescent="0.7">
      <c r="A31" s="1703"/>
      <c r="B31" s="1702"/>
      <c r="C31" t="s">
        <v>17</v>
      </c>
      <c r="D31" s="1702"/>
      <c r="E31" s="126" t="e">
        <f>#REF!</f>
        <v>#REF!</v>
      </c>
      <c r="F31" s="49" t="e">
        <f t="shared" si="10"/>
        <v>#REF!</v>
      </c>
      <c r="G31" s="125" t="e">
        <f>#REF!</f>
        <v>#REF!</v>
      </c>
      <c r="H31" s="95"/>
      <c r="I31" s="26" t="e">
        <f>#REF!</f>
        <v>#REF!</v>
      </c>
      <c r="J31" s="26" t="e">
        <f t="shared" si="7"/>
        <v>#REF!</v>
      </c>
      <c r="K31" s="26"/>
      <c r="L31" s="26" t="e">
        <f>#REF!</f>
        <v>#REF!</v>
      </c>
      <c r="M31" s="26" t="e">
        <f t="shared" si="2"/>
        <v>#REF!</v>
      </c>
      <c r="N31" s="36"/>
      <c r="O31" s="76" t="e">
        <f t="shared" si="8"/>
        <v>#REF!</v>
      </c>
      <c r="P31" s="89" t="e">
        <f t="shared" si="3"/>
        <v>#REF!</v>
      </c>
      <c r="Q31" s="77" t="e">
        <f t="shared" si="4"/>
        <v>#REF!</v>
      </c>
      <c r="R31" s="277"/>
      <c r="S31" s="278"/>
    </row>
    <row r="32" spans="1:19" ht="14.5" x14ac:dyDescent="0.65">
      <c r="A32" s="1703"/>
      <c r="B32" s="1705"/>
      <c r="C32" s="136" t="s">
        <v>67</v>
      </c>
      <c r="D32" s="137"/>
      <c r="E32" s="138"/>
      <c r="F32" s="139"/>
      <c r="G32" s="140"/>
      <c r="H32" s="141"/>
      <c r="I32" s="31"/>
      <c r="J32" s="31">
        <f t="shared" si="7"/>
        <v>0</v>
      </c>
      <c r="K32" s="31"/>
      <c r="L32" s="31"/>
      <c r="M32" s="142">
        <f t="shared" si="2"/>
        <v>0</v>
      </c>
      <c r="N32" s="143"/>
      <c r="O32" s="144">
        <f t="shared" si="8"/>
        <v>0</v>
      </c>
      <c r="P32" s="145">
        <f t="shared" si="3"/>
        <v>0</v>
      </c>
      <c r="Q32" s="134">
        <f t="shared" si="4"/>
        <v>0</v>
      </c>
    </row>
    <row r="33" spans="1:17" ht="14.5" x14ac:dyDescent="0.65">
      <c r="A33" s="1703" t="s">
        <v>18</v>
      </c>
      <c r="B33" s="1704" t="s">
        <v>19</v>
      </c>
      <c r="C33" t="s">
        <v>68</v>
      </c>
      <c r="D33" s="1706" t="s">
        <v>20</v>
      </c>
      <c r="E33" s="69" t="e">
        <f>#REF!</f>
        <v>#REF!</v>
      </c>
      <c r="F33" s="49" t="e">
        <f>E33/$E$47</f>
        <v>#REF!</v>
      </c>
      <c r="G33" s="166" t="e">
        <f>#REF!</f>
        <v>#REF!</v>
      </c>
      <c r="H33" s="155"/>
      <c r="I33" s="156" t="e">
        <f>#REF!</f>
        <v>#REF!</v>
      </c>
      <c r="J33" s="26" t="e">
        <f>I33*G33</f>
        <v>#REF!</v>
      </c>
      <c r="K33" s="156"/>
      <c r="L33" s="156" t="e">
        <f>#REF!</f>
        <v>#REF!</v>
      </c>
      <c r="M33" s="26" t="e">
        <f t="shared" si="2"/>
        <v>#REF!</v>
      </c>
      <c r="N33" s="157"/>
      <c r="O33" s="78" t="e">
        <f>J33*F33</f>
        <v>#REF!</v>
      </c>
      <c r="P33" s="130" t="e">
        <f t="shared" si="3"/>
        <v>#REF!</v>
      </c>
      <c r="Q33" s="79" t="e">
        <f t="shared" si="4"/>
        <v>#REF!</v>
      </c>
    </row>
    <row r="34" spans="1:17" ht="14.5" x14ac:dyDescent="0.65">
      <c r="A34" s="1703"/>
      <c r="B34" s="1704"/>
      <c r="C34" t="s">
        <v>69</v>
      </c>
      <c r="D34" s="1706"/>
      <c r="E34" s="69" t="e">
        <f>#REF!</f>
        <v>#REF!</v>
      </c>
      <c r="F34" s="49" t="e">
        <f>E34/$E$47</f>
        <v>#REF!</v>
      </c>
      <c r="G34" s="166" t="e">
        <f>#REF!</f>
        <v>#REF!</v>
      </c>
      <c r="H34" s="155"/>
      <c r="I34" s="250" t="e">
        <f>#REF!</f>
        <v>#REF!</v>
      </c>
      <c r="J34" s="26" t="e">
        <f>I34*G34</f>
        <v>#REF!</v>
      </c>
      <c r="K34" s="156"/>
      <c r="L34" s="156" t="e">
        <f>#REF!</f>
        <v>#REF!</v>
      </c>
      <c r="M34" s="26" t="e">
        <f t="shared" si="2"/>
        <v>#REF!</v>
      </c>
      <c r="N34" s="157"/>
      <c r="O34" s="82" t="e">
        <f t="shared" si="8"/>
        <v>#REF!</v>
      </c>
      <c r="P34" s="129" t="e">
        <f t="shared" si="3"/>
        <v>#REF!</v>
      </c>
      <c r="Q34" s="83" t="e">
        <f t="shared" si="4"/>
        <v>#REF!</v>
      </c>
    </row>
    <row r="35" spans="1:17" ht="14.5" x14ac:dyDescent="0.65">
      <c r="A35" s="1703"/>
      <c r="B35" s="239" t="s">
        <v>70</v>
      </c>
      <c r="C35" s="147" t="s">
        <v>370</v>
      </c>
      <c r="D35" s="240"/>
      <c r="E35" s="254" t="e">
        <f>#REF!</f>
        <v>#REF!</v>
      </c>
      <c r="F35" s="253" t="e">
        <f>E34/$E$47</f>
        <v>#REF!</v>
      </c>
      <c r="G35" s="148"/>
      <c r="H35" s="149"/>
      <c r="I35" s="174"/>
      <c r="J35" s="29">
        <f t="shared" si="7"/>
        <v>0</v>
      </c>
      <c r="K35" s="174"/>
      <c r="L35" s="174"/>
      <c r="M35" s="150">
        <f t="shared" si="2"/>
        <v>0</v>
      </c>
      <c r="N35" s="151"/>
      <c r="O35" s="144" t="e">
        <f t="shared" si="8"/>
        <v>#REF!</v>
      </c>
      <c r="P35" s="145" t="e">
        <f t="shared" si="3"/>
        <v>#REF!</v>
      </c>
      <c r="Q35" s="134" t="e">
        <f t="shared" si="4"/>
        <v>#REF!</v>
      </c>
    </row>
    <row r="36" spans="1:17" ht="42.75" x14ac:dyDescent="0.65">
      <c r="A36" s="1703"/>
      <c r="B36" s="1704" t="s">
        <v>22</v>
      </c>
      <c r="C36" t="s">
        <v>23</v>
      </c>
      <c r="D36" s="48" t="s">
        <v>71</v>
      </c>
      <c r="E36" s="69" t="e">
        <f>#REF!*0.03</f>
        <v>#REF!</v>
      </c>
      <c r="F36" s="49" t="e">
        <f>E36/$E$47</f>
        <v>#REF!</v>
      </c>
      <c r="G36" s="45">
        <v>0.71</v>
      </c>
      <c r="H36" s="146" t="s">
        <v>72</v>
      </c>
      <c r="I36" s="26" t="e">
        <f>#REF!</f>
        <v>#REF!</v>
      </c>
      <c r="J36" s="26" t="e">
        <f t="shared" si="7"/>
        <v>#REF!</v>
      </c>
      <c r="K36" s="42" t="s">
        <v>73</v>
      </c>
      <c r="L36" s="26" t="e">
        <f>#REF!</f>
        <v>#REF!</v>
      </c>
      <c r="M36" s="28" t="e">
        <f t="shared" si="2"/>
        <v>#REF!</v>
      </c>
      <c r="N36" s="42" t="s">
        <v>73</v>
      </c>
      <c r="O36" s="78" t="e">
        <f t="shared" si="8"/>
        <v>#REF!</v>
      </c>
      <c r="P36" s="130" t="e">
        <f t="shared" si="3"/>
        <v>#REF!</v>
      </c>
      <c r="Q36" s="79" t="e">
        <f t="shared" si="4"/>
        <v>#REF!</v>
      </c>
    </row>
    <row r="37" spans="1:17" ht="14.5" x14ac:dyDescent="0.65">
      <c r="A37" s="1703"/>
      <c r="B37" s="1704"/>
      <c r="C37" s="90" t="s">
        <v>74</v>
      </c>
      <c r="D37" s="101" t="s">
        <v>55</v>
      </c>
      <c r="E37" s="102" t="e">
        <f>#REF!</f>
        <v>#REF!</v>
      </c>
      <c r="F37" s="103" t="e">
        <f>E37/$E$47</f>
        <v>#REF!</v>
      </c>
      <c r="G37" s="104"/>
      <c r="H37" s="274" t="s">
        <v>75</v>
      </c>
      <c r="I37" s="106"/>
      <c r="J37" s="106">
        <f t="shared" si="7"/>
        <v>0</v>
      </c>
      <c r="K37" s="275"/>
      <c r="L37" s="106"/>
      <c r="M37" s="276">
        <f t="shared" si="2"/>
        <v>0</v>
      </c>
      <c r="N37" s="275"/>
      <c r="O37" s="108" t="e">
        <f>J37*F37</f>
        <v>#REF!</v>
      </c>
      <c r="P37" s="127" t="e">
        <f>M37*F37</f>
        <v>#REF!</v>
      </c>
      <c r="Q37" s="259" t="e">
        <f>F37*G37</f>
        <v>#REF!</v>
      </c>
    </row>
    <row r="38" spans="1:17" ht="28.5" x14ac:dyDescent="0.65">
      <c r="A38" s="1703"/>
      <c r="B38" s="1704"/>
      <c r="C38" t="s">
        <v>76</v>
      </c>
      <c r="D38" s="48" t="s">
        <v>77</v>
      </c>
      <c r="E38" s="69" t="e">
        <f>E47</f>
        <v>#REF!</v>
      </c>
      <c r="F38" s="49" t="e">
        <f>E38/$E$47</f>
        <v>#REF!</v>
      </c>
      <c r="G38" s="161" t="e">
        <f>#REF!</f>
        <v>#REF!</v>
      </c>
      <c r="H38" s="158" t="s">
        <v>75</v>
      </c>
      <c r="I38" s="250" t="e">
        <f>#REF!</f>
        <v>#REF!</v>
      </c>
      <c r="J38" s="26" t="e">
        <f>I38*G38</f>
        <v>#REF!</v>
      </c>
      <c r="K38" s="273" t="s">
        <v>78</v>
      </c>
      <c r="L38" s="250" t="e">
        <f>#REF!</f>
        <v>#REF!</v>
      </c>
      <c r="M38" s="26" t="e">
        <f>L38*G38</f>
        <v>#REF!</v>
      </c>
      <c r="N38" s="165" t="s">
        <v>78</v>
      </c>
      <c r="O38" s="162" t="e">
        <f>J38*F38</f>
        <v>#REF!</v>
      </c>
      <c r="P38" s="163" t="e">
        <f>M38*F38</f>
        <v>#REF!</v>
      </c>
      <c r="Q38" s="164" t="e">
        <f>F38*G38</f>
        <v>#REF!</v>
      </c>
    </row>
    <row r="39" spans="1:17" ht="28.5" x14ac:dyDescent="0.65">
      <c r="A39" s="1703"/>
      <c r="B39" s="1704"/>
      <c r="C39" s="59" t="s">
        <v>79</v>
      </c>
      <c r="D39" s="48" t="s">
        <v>77</v>
      </c>
      <c r="E39" s="71" t="e">
        <f>E47</f>
        <v>#REF!</v>
      </c>
      <c r="F39" s="252" t="e">
        <f>E39/$E$47</f>
        <v>#REF!</v>
      </c>
      <c r="G39" s="66"/>
      <c r="H39" s="98"/>
      <c r="I39" s="156"/>
      <c r="J39" s="26">
        <f t="shared" si="7"/>
        <v>0</v>
      </c>
      <c r="K39" s="156"/>
      <c r="L39" s="156"/>
      <c r="M39" s="63">
        <f t="shared" si="2"/>
        <v>0</v>
      </c>
      <c r="N39" s="67"/>
      <c r="O39" s="86" t="e">
        <f t="shared" si="8"/>
        <v>#REF!</v>
      </c>
      <c r="P39" s="131" t="e">
        <f t="shared" si="3"/>
        <v>#REF!</v>
      </c>
      <c r="Q39" s="87" t="e">
        <f t="shared" si="4"/>
        <v>#REF!</v>
      </c>
    </row>
    <row r="40" spans="1:17" ht="14.5" x14ac:dyDescent="0.65">
      <c r="A40" s="1703"/>
      <c r="B40" s="1701" t="s">
        <v>80</v>
      </c>
      <c r="C40" s="109" t="s">
        <v>81</v>
      </c>
      <c r="D40" s="1707" t="s">
        <v>82</v>
      </c>
      <c r="E40" s="268" t="e">
        <f>SUM(#REF!)</f>
        <v>#REF!</v>
      </c>
      <c r="F40" s="110" t="e">
        <f t="shared" ref="F40:F46" si="11">E40/$E$47</f>
        <v>#REF!</v>
      </c>
      <c r="G40" s="269"/>
      <c r="H40" s="270"/>
      <c r="I40" s="271"/>
      <c r="J40" s="111">
        <f t="shared" si="7"/>
        <v>0</v>
      </c>
      <c r="K40" s="271"/>
      <c r="L40" s="271"/>
      <c r="M40" s="111">
        <f t="shared" si="2"/>
        <v>0</v>
      </c>
      <c r="N40" s="272"/>
      <c r="O40" s="108" t="e">
        <f t="shared" si="8"/>
        <v>#REF!</v>
      </c>
      <c r="P40" s="127" t="e">
        <f t="shared" si="3"/>
        <v>#REF!</v>
      </c>
      <c r="Q40" s="259" t="e">
        <f t="shared" si="4"/>
        <v>#REF!</v>
      </c>
    </row>
    <row r="41" spans="1:17" ht="39" customHeight="1" x14ac:dyDescent="0.65">
      <c r="A41" s="1703"/>
      <c r="B41" s="1702"/>
      <c r="C41" s="260" t="s">
        <v>83</v>
      </c>
      <c r="D41" s="1708"/>
      <c r="E41" s="102" t="e">
        <f>SUM(#REF!)</f>
        <v>#REF!</v>
      </c>
      <c r="F41" s="103" t="e">
        <f t="shared" si="11"/>
        <v>#REF!</v>
      </c>
      <c r="G41" s="255"/>
      <c r="H41" s="256"/>
      <c r="I41" s="257"/>
      <c r="J41" s="106">
        <f t="shared" si="7"/>
        <v>0</v>
      </c>
      <c r="K41" s="257"/>
      <c r="L41" s="257"/>
      <c r="M41" s="106">
        <f t="shared" si="2"/>
        <v>0</v>
      </c>
      <c r="N41" s="258"/>
      <c r="O41" s="108" t="e">
        <f t="shared" si="8"/>
        <v>#REF!</v>
      </c>
      <c r="P41" s="127" t="e">
        <f t="shared" si="3"/>
        <v>#REF!</v>
      </c>
      <c r="Q41" s="259" t="e">
        <f t="shared" si="4"/>
        <v>#REF!</v>
      </c>
    </row>
    <row r="42" spans="1:17" ht="14.5" x14ac:dyDescent="0.7">
      <c r="A42" s="1703"/>
      <c r="B42" s="1702"/>
      <c r="C42" s="1" t="s">
        <v>369</v>
      </c>
      <c r="D42" s="48" t="s">
        <v>85</v>
      </c>
      <c r="E42" s="292" t="e">
        <f>SUM(#REF!)</f>
        <v>#REF!</v>
      </c>
      <c r="F42" s="169" t="e">
        <f>E42/$E$47</f>
        <v>#REF!</v>
      </c>
      <c r="G42" s="293">
        <f>Buildings!M82</f>
        <v>0.20000000000000004</v>
      </c>
      <c r="H42" s="155" t="s">
        <v>410</v>
      </c>
      <c r="I42" s="173" t="e">
        <f>#REF!</f>
        <v>#REF!</v>
      </c>
      <c r="J42" s="173" t="e">
        <f>I42*G42</f>
        <v>#REF!</v>
      </c>
      <c r="K42" s="294" t="s">
        <v>411</v>
      </c>
      <c r="L42" s="173" t="e">
        <f>#REF!</f>
        <v>#REF!</v>
      </c>
      <c r="M42" s="173" t="e">
        <f>L42*G42</f>
        <v>#REF!</v>
      </c>
      <c r="N42" s="294" t="s">
        <v>411</v>
      </c>
      <c r="O42" s="76" t="e">
        <f>J42*F42</f>
        <v>#REF!</v>
      </c>
      <c r="P42" s="295" t="e">
        <f>M42*F42</f>
        <v>#REF!</v>
      </c>
      <c r="Q42" s="77" t="e">
        <f>F42*G42</f>
        <v>#REF!</v>
      </c>
    </row>
    <row r="43" spans="1:17" ht="14.5" x14ac:dyDescent="0.65">
      <c r="A43" s="1703"/>
      <c r="B43" s="1702"/>
      <c r="C43" s="90" t="s">
        <v>84</v>
      </c>
      <c r="D43" s="101" t="s">
        <v>85</v>
      </c>
      <c r="E43" s="102" t="e">
        <f>SUM(#REF!)</f>
        <v>#REF!</v>
      </c>
      <c r="F43" s="103" t="e">
        <f t="shared" si="11"/>
        <v>#REF!</v>
      </c>
      <c r="G43" s="255"/>
      <c r="H43" s="256"/>
      <c r="I43" s="257"/>
      <c r="J43" s="106">
        <f t="shared" si="7"/>
        <v>0</v>
      </c>
      <c r="K43" s="257"/>
      <c r="L43" s="257"/>
      <c r="M43" s="106">
        <f t="shared" si="2"/>
        <v>0</v>
      </c>
      <c r="N43" s="258"/>
      <c r="O43" s="108" t="e">
        <f t="shared" si="8"/>
        <v>#REF!</v>
      </c>
      <c r="P43" s="127" t="e">
        <f t="shared" si="3"/>
        <v>#REF!</v>
      </c>
      <c r="Q43" s="259" t="e">
        <f t="shared" si="4"/>
        <v>#REF!</v>
      </c>
    </row>
    <row r="44" spans="1:17" ht="42.75" x14ac:dyDescent="0.65">
      <c r="A44" s="1703"/>
      <c r="B44" s="1702"/>
      <c r="C44" s="260" t="s">
        <v>86</v>
      </c>
      <c r="D44" s="1709" t="s">
        <v>82</v>
      </c>
      <c r="E44" s="102" t="e">
        <f>SUM(#REF!)</f>
        <v>#REF!</v>
      </c>
      <c r="F44" s="103" t="e">
        <f t="shared" si="11"/>
        <v>#REF!</v>
      </c>
      <c r="G44" s="255"/>
      <c r="H44" s="256"/>
      <c r="I44" s="257"/>
      <c r="J44" s="106">
        <f t="shared" si="7"/>
        <v>0</v>
      </c>
      <c r="K44" s="257"/>
      <c r="L44" s="257"/>
      <c r="M44" s="106">
        <f t="shared" si="2"/>
        <v>0</v>
      </c>
      <c r="N44" s="258"/>
      <c r="O44" s="108" t="e">
        <f t="shared" si="8"/>
        <v>#REF!</v>
      </c>
      <c r="P44" s="127" t="e">
        <f t="shared" si="3"/>
        <v>#REF!</v>
      </c>
      <c r="Q44" s="259" t="e">
        <f t="shared" si="4"/>
        <v>#REF!</v>
      </c>
    </row>
    <row r="45" spans="1:17" ht="14.5" x14ac:dyDescent="0.65">
      <c r="A45" s="1703"/>
      <c r="B45" s="1702"/>
      <c r="C45" s="260" t="s">
        <v>87</v>
      </c>
      <c r="D45" s="1709"/>
      <c r="E45" s="102" t="e">
        <f>SUM(#REF!)</f>
        <v>#REF!</v>
      </c>
      <c r="F45" s="103" t="e">
        <f t="shared" si="11"/>
        <v>#REF!</v>
      </c>
      <c r="G45" s="255"/>
      <c r="H45" s="256"/>
      <c r="I45" s="257"/>
      <c r="J45" s="106">
        <f t="shared" si="7"/>
        <v>0</v>
      </c>
      <c r="K45" s="257"/>
      <c r="L45" s="257"/>
      <c r="M45" s="106">
        <f t="shared" si="2"/>
        <v>0</v>
      </c>
      <c r="N45" s="258"/>
      <c r="O45" s="108" t="e">
        <f t="shared" si="8"/>
        <v>#REF!</v>
      </c>
      <c r="P45" s="127" t="e">
        <f t="shared" si="3"/>
        <v>#REF!</v>
      </c>
      <c r="Q45" s="259" t="e">
        <f t="shared" si="4"/>
        <v>#REF!</v>
      </c>
    </row>
    <row r="46" spans="1:17" ht="42.75" x14ac:dyDescent="0.65">
      <c r="A46" s="1703"/>
      <c r="B46" s="1705"/>
      <c r="C46" s="261" t="s">
        <v>88</v>
      </c>
      <c r="D46" s="1710"/>
      <c r="E46" s="262" t="e">
        <f>SUM(#REF!)</f>
        <v>#REF!</v>
      </c>
      <c r="F46" s="119" t="e">
        <f t="shared" si="11"/>
        <v>#REF!</v>
      </c>
      <c r="G46" s="263"/>
      <c r="H46" s="264"/>
      <c r="I46" s="265"/>
      <c r="J46" s="122">
        <f t="shared" si="7"/>
        <v>0</v>
      </c>
      <c r="K46" s="265"/>
      <c r="L46" s="265"/>
      <c r="M46" s="122">
        <f t="shared" si="2"/>
        <v>0</v>
      </c>
      <c r="N46" s="266"/>
      <c r="O46" s="124" t="e">
        <f t="shared" si="8"/>
        <v>#REF!</v>
      </c>
      <c r="P46" s="132" t="e">
        <f t="shared" si="3"/>
        <v>#REF!</v>
      </c>
      <c r="Q46" s="267" t="e">
        <f t="shared" si="4"/>
        <v>#REF!</v>
      </c>
    </row>
    <row r="47" spans="1:17" ht="55" x14ac:dyDescent="1">
      <c r="B47" s="12"/>
      <c r="D47" s="88" t="s">
        <v>77</v>
      </c>
      <c r="E47" s="176" t="e">
        <f>#REF!</f>
        <v>#REF!</v>
      </c>
      <c r="G47" s="23"/>
      <c r="H47" s="99"/>
      <c r="I47" s="175"/>
      <c r="J47" s="175"/>
      <c r="K47" s="175"/>
      <c r="L47" s="175"/>
      <c r="M47" s="23"/>
      <c r="N47" s="22" t="s">
        <v>89</v>
      </c>
      <c r="O47" s="73" t="e">
        <f>SUM(O2:O46)</f>
        <v>#REF!</v>
      </c>
      <c r="P47" s="73" t="e">
        <f>SUM(P2:P46)</f>
        <v>#REF!</v>
      </c>
      <c r="Q47" s="73" t="e">
        <f>SUM(Q2:Q46)</f>
        <v>#REF!</v>
      </c>
    </row>
    <row r="48" spans="1:17" x14ac:dyDescent="0.65">
      <c r="A48" s="152"/>
      <c r="B48" s="14" t="s">
        <v>90</v>
      </c>
    </row>
    <row r="49" spans="1:2" x14ac:dyDescent="0.65">
      <c r="A49" s="153"/>
      <c r="B49" s="15" t="s">
        <v>91</v>
      </c>
    </row>
  </sheetData>
  <mergeCells count="14">
    <mergeCell ref="A33:A46"/>
    <mergeCell ref="B33:B34"/>
    <mergeCell ref="D33:D34"/>
    <mergeCell ref="B36:B39"/>
    <mergeCell ref="B40:B46"/>
    <mergeCell ref="D40:D41"/>
    <mergeCell ref="D44:D46"/>
    <mergeCell ref="D2:D3"/>
    <mergeCell ref="B18:B21"/>
    <mergeCell ref="A25:A32"/>
    <mergeCell ref="B25:B28"/>
    <mergeCell ref="B29:B32"/>
    <mergeCell ref="D29:D31"/>
    <mergeCell ref="B22:B24"/>
  </mergeCells>
  <hyperlinks>
    <hyperlink ref="H15" r:id="rId1" xr:uid="{396CF467-030B-44B7-98EE-E586B4901F46}"/>
    <hyperlink ref="H3" r:id="rId2" location=":~:text=Small%20wind%20turbines%20used%20in,kilowatt%2Dhours%20per%20month)." xr:uid="{D7A1BC97-0959-48E4-95E9-130D5EDEA02C}"/>
    <hyperlink ref="H11" r:id="rId3" xr:uid="{6BBBBE10-A6FC-4288-99D0-5BCE4CB54A58}"/>
    <hyperlink ref="H12" r:id="rId4" xr:uid="{A00C4CAD-D571-42AA-B327-24535B769D33}"/>
    <hyperlink ref="H2" r:id="rId5" xr:uid="{3CCA84C4-280A-472C-B122-AC7DF1810796}"/>
    <hyperlink ref="H17" r:id="rId6" xr:uid="{FE0E82A4-B00A-41F4-8B4D-21B219A62E82}"/>
    <hyperlink ref="H38" r:id="rId7" xr:uid="{69CF2B35-E0CE-49C6-B0AF-6E991E4D8CFC}"/>
    <hyperlink ref="H37" r:id="rId8" xr:uid="{E9EACC69-DE30-4D1C-B4C6-25F9AC01D8D2}"/>
    <hyperlink ref="H16" r:id="rId9" xr:uid="{BB5D334F-5545-4C3F-A5E7-84559756C6E1}"/>
    <hyperlink ref="K38" r:id="rId10" xr:uid="{7260CA6D-A510-4F0D-A372-CFB31148C5CB}"/>
    <hyperlink ref="H13" r:id="rId11" display="https://www.aqmd.gov/docs/default-source/ceqa/handbook/capcoa-quantifying-greenhouse-gas-mitigation-measures.pdf" xr:uid="{323BA824-C612-4809-9C98-CCFB0D934A3C}"/>
    <hyperlink ref="H14" r:id="rId12" xr:uid="{7C7C976F-7D4D-456A-AF66-816751DCBA5B}"/>
    <hyperlink ref="H8" r:id="rId13" xr:uid="{F4CA89A2-F0A5-4639-BCD9-9E7D90F5AD88}"/>
    <hyperlink ref="H22" r:id="rId14" xr:uid="{3FAFA2A3-10D1-4C5F-AD07-003562E49F3F}"/>
    <hyperlink ref="H29" r:id="rId15" display="https://www.ox.ac.uk/news/2021-02-02-get-your-bike-active-transport-makes-significant-impact-carbon-emissions" xr:uid="{19031934-D840-43C0-985A-92B9730B5B54}"/>
    <hyperlink ref="H9" r:id="rId16" xr:uid="{0A262054-2483-4E7D-A515-A4E0B540B0E5}"/>
    <hyperlink ref="H10" r:id="rId17" xr:uid="{31D79C2A-185E-4E70-AE07-0A9257C87CCD}"/>
    <hyperlink ref="H4" r:id="rId18" location="performance" xr:uid="{75C02E39-66D0-4F0B-A63B-733E969ADCBA}"/>
    <hyperlink ref="H5" r:id="rId19" location="performance" xr:uid="{0D45DBE4-1A93-4873-83FB-E80E7F9A00A5}"/>
    <hyperlink ref="H7" r:id="rId20" display="https://rmi.org/clean-energy-101-geothermal-heat-pumps/" xr:uid="{5C540568-2632-4DFA-BB65-51ACC63FA6DA}"/>
    <hyperlink ref="H6" r:id="rId21" display="https://rmi.org/clean-energy-101-geothermal-heat-pumps/" xr:uid="{D0B07CAD-1129-4F80-8E40-1E6364C00B76}"/>
  </hyperlinks>
  <pageMargins left="0.7" right="0.7" top="0.75" bottom="0.75" header="0.3" footer="0.3"/>
  <legacyDrawing r:id="rId2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DE78D-FFF9-4355-9491-894B04C551D0}">
  <sheetPr>
    <tabColor theme="4" tint="0.79998168889431442"/>
  </sheetPr>
  <dimension ref="A1:BG29"/>
  <sheetViews>
    <sheetView zoomScale="80" zoomScaleNormal="80" workbookViewId="0">
      <pane xSplit="1" topLeftCell="B1" activePane="topRight" state="frozen"/>
      <selection activeCell="H37" sqref="H37"/>
      <selection pane="topRight" activeCell="H39" sqref="H39"/>
    </sheetView>
  </sheetViews>
  <sheetFormatPr defaultRowHeight="14.25" x14ac:dyDescent="0.65"/>
  <cols>
    <col min="1" max="1" width="21.875" bestFit="1" customWidth="1"/>
    <col min="2" max="2" width="12.75" customWidth="1"/>
    <col min="3" max="3" width="12.375" customWidth="1"/>
    <col min="4" max="5" width="11.375" customWidth="1"/>
    <col min="6" max="6" width="12" customWidth="1"/>
    <col min="7" max="8" width="11.375" customWidth="1"/>
    <col min="9" max="14" width="13" customWidth="1"/>
    <col min="15" max="24" width="11.375" customWidth="1"/>
    <col min="25" max="25" width="13.75" customWidth="1"/>
    <col min="26" max="55" width="11.375" customWidth="1"/>
    <col min="56" max="57" width="12.25" customWidth="1"/>
    <col min="58" max="59" width="11" customWidth="1"/>
    <col min="16378" max="16384" width="9" bestFit="1" customWidth="1"/>
  </cols>
  <sheetData>
    <row r="1" spans="1:59" s="316" customFormat="1" x14ac:dyDescent="0.65">
      <c r="A1" s="316">
        <v>1</v>
      </c>
      <c r="B1" s="316">
        <v>2</v>
      </c>
      <c r="C1" s="316">
        <v>3</v>
      </c>
      <c r="D1" s="316">
        <v>4</v>
      </c>
      <c r="E1" s="316">
        <v>5</v>
      </c>
      <c r="F1" s="316">
        <v>6</v>
      </c>
      <c r="G1" s="316">
        <v>7</v>
      </c>
      <c r="H1" s="316">
        <v>8</v>
      </c>
      <c r="I1" s="316">
        <v>9</v>
      </c>
      <c r="J1" s="316">
        <v>10</v>
      </c>
      <c r="K1" s="316">
        <v>11</v>
      </c>
      <c r="L1" s="316">
        <v>12</v>
      </c>
      <c r="M1" s="316">
        <v>13</v>
      </c>
      <c r="N1" s="316">
        <v>14</v>
      </c>
      <c r="O1" s="316">
        <v>15</v>
      </c>
      <c r="P1" s="316">
        <v>16</v>
      </c>
      <c r="Q1" s="316">
        <v>17</v>
      </c>
      <c r="R1" s="316">
        <v>18</v>
      </c>
      <c r="S1" s="316">
        <v>19</v>
      </c>
      <c r="T1" s="316">
        <v>20</v>
      </c>
      <c r="U1" s="316">
        <v>21</v>
      </c>
      <c r="V1" s="316">
        <v>22</v>
      </c>
      <c r="W1" s="316">
        <v>23</v>
      </c>
      <c r="X1" s="316">
        <v>24</v>
      </c>
      <c r="Y1" s="316">
        <v>25</v>
      </c>
      <c r="Z1" s="316">
        <v>26</v>
      </c>
      <c r="AA1" s="316">
        <v>27</v>
      </c>
      <c r="AB1" s="316">
        <v>28</v>
      </c>
      <c r="AC1" s="316">
        <v>29</v>
      </c>
      <c r="AD1" s="316">
        <v>30</v>
      </c>
      <c r="AE1" s="316">
        <v>31</v>
      </c>
      <c r="AF1" s="316">
        <v>32</v>
      </c>
      <c r="AG1" s="316">
        <v>33</v>
      </c>
      <c r="AH1" s="316">
        <v>34</v>
      </c>
      <c r="AI1" s="316">
        <v>35</v>
      </c>
      <c r="AJ1" s="316">
        <v>36</v>
      </c>
      <c r="AK1" s="316">
        <v>37</v>
      </c>
      <c r="AL1" s="316">
        <v>38</v>
      </c>
      <c r="AM1" s="316">
        <v>39</v>
      </c>
      <c r="AN1" s="316">
        <v>40</v>
      </c>
      <c r="AO1" s="316">
        <v>41</v>
      </c>
      <c r="AP1" s="316">
        <v>42</v>
      </c>
      <c r="AQ1" s="316">
        <v>43</v>
      </c>
      <c r="AR1" s="316">
        <v>44</v>
      </c>
      <c r="AS1" s="316">
        <v>45</v>
      </c>
      <c r="AT1" s="316">
        <v>46</v>
      </c>
      <c r="AU1" s="316">
        <v>47</v>
      </c>
      <c r="AV1" s="316">
        <v>48</v>
      </c>
      <c r="AW1" s="316">
        <v>49</v>
      </c>
      <c r="AX1" s="316">
        <v>50</v>
      </c>
      <c r="AY1" s="316">
        <v>51</v>
      </c>
      <c r="AZ1" s="316">
        <v>52</v>
      </c>
      <c r="BA1" s="316">
        <v>53</v>
      </c>
      <c r="BB1" s="316">
        <v>54</v>
      </c>
      <c r="BC1" s="316">
        <v>55</v>
      </c>
      <c r="BD1" s="316">
        <v>56</v>
      </c>
      <c r="BE1" s="316">
        <v>57</v>
      </c>
      <c r="BF1" s="316">
        <v>58</v>
      </c>
      <c r="BG1" s="316">
        <v>59</v>
      </c>
    </row>
    <row r="2" spans="1:59" ht="18.399999999999999" customHeight="1" x14ac:dyDescent="0.65">
      <c r="B2" s="1434" t="s">
        <v>472</v>
      </c>
      <c r="C2" s="1434"/>
      <c r="D2" s="1434"/>
      <c r="E2" s="1434"/>
      <c r="F2" s="1434"/>
      <c r="G2" s="1434"/>
      <c r="H2" s="1434" t="s">
        <v>469</v>
      </c>
      <c r="I2" s="1434"/>
      <c r="J2" s="1434"/>
      <c r="K2" s="1434"/>
      <c r="L2" s="1434"/>
      <c r="M2" s="1434"/>
      <c r="N2" s="1434"/>
      <c r="O2" s="1434"/>
      <c r="P2" s="1434"/>
      <c r="Q2" s="1434"/>
      <c r="R2" s="1434"/>
      <c r="S2" s="1434"/>
      <c r="T2" s="1434"/>
      <c r="U2" s="1434"/>
      <c r="V2" s="1434"/>
      <c r="W2" s="1434"/>
      <c r="X2" s="1434"/>
      <c r="Y2" s="1434"/>
      <c r="Z2" s="1434"/>
      <c r="AA2" s="1434"/>
      <c r="AB2" s="1434"/>
      <c r="AC2" s="1434"/>
      <c r="AD2" s="1434"/>
      <c r="AE2" s="1434"/>
      <c r="AF2" s="1434"/>
      <c r="AG2" s="1434"/>
      <c r="AH2" s="1434"/>
      <c r="AI2" s="1434"/>
      <c r="AJ2" s="1434"/>
      <c r="AK2" s="1434"/>
      <c r="AL2" s="1439" t="s">
        <v>6</v>
      </c>
      <c r="AM2" s="1440"/>
      <c r="AN2" s="1440"/>
      <c r="AO2" s="1440"/>
      <c r="AP2" s="1440"/>
      <c r="AQ2" s="1440"/>
      <c r="AR2" s="1440"/>
      <c r="AS2" s="1440"/>
      <c r="AT2" s="1440"/>
      <c r="AU2" s="1440"/>
      <c r="AV2" s="1440"/>
      <c r="AW2" s="1441"/>
      <c r="AX2" s="1438" t="s">
        <v>107</v>
      </c>
      <c r="AY2" s="1438"/>
      <c r="AZ2" s="1438" t="s">
        <v>108</v>
      </c>
      <c r="BA2" s="1438"/>
      <c r="BB2" s="1438"/>
      <c r="BC2" s="1438"/>
      <c r="BD2" s="1432" t="s">
        <v>6</v>
      </c>
      <c r="BE2" s="1432"/>
      <c r="BF2" s="1432" t="s">
        <v>674</v>
      </c>
      <c r="BG2" s="1432"/>
    </row>
    <row r="3" spans="1:59" ht="61.9" customHeight="1" x14ac:dyDescent="0.65">
      <c r="B3" s="1435" t="s">
        <v>473</v>
      </c>
      <c r="C3" s="1435"/>
      <c r="D3" s="1435" t="s">
        <v>474</v>
      </c>
      <c r="E3" s="1435"/>
      <c r="F3" s="1435" t="s">
        <v>475</v>
      </c>
      <c r="G3" s="1435"/>
      <c r="H3" s="1435" t="s">
        <v>471</v>
      </c>
      <c r="I3" s="1435"/>
      <c r="J3" s="1435" t="s">
        <v>464</v>
      </c>
      <c r="K3" s="1435"/>
      <c r="L3" s="1435" t="s">
        <v>442</v>
      </c>
      <c r="M3" s="1435"/>
      <c r="N3" s="1435" t="s">
        <v>478</v>
      </c>
      <c r="O3" s="1435"/>
      <c r="P3" s="1435" t="s">
        <v>58</v>
      </c>
      <c r="Q3" s="1435"/>
      <c r="R3" s="1435" t="s">
        <v>470</v>
      </c>
      <c r="S3" s="1435"/>
      <c r="T3" s="1435" t="s">
        <v>452</v>
      </c>
      <c r="U3" s="1435"/>
      <c r="V3" s="1435" t="s">
        <v>430</v>
      </c>
      <c r="W3" s="1435"/>
      <c r="X3" s="1435" t="s">
        <v>477</v>
      </c>
      <c r="Y3" s="1435"/>
      <c r="Z3" s="1435" t="s">
        <v>479</v>
      </c>
      <c r="AA3" s="1435"/>
      <c r="AB3" s="1435" t="s">
        <v>480</v>
      </c>
      <c r="AC3" s="1435"/>
      <c r="AD3" s="1435" t="s">
        <v>481</v>
      </c>
      <c r="AE3" s="1435"/>
      <c r="AF3" s="1435" t="s">
        <v>482</v>
      </c>
      <c r="AG3" s="1435"/>
      <c r="AH3" s="1435" t="s">
        <v>476</v>
      </c>
      <c r="AI3" s="1435"/>
      <c r="AJ3" s="1435" t="s">
        <v>483</v>
      </c>
      <c r="AK3" s="1435"/>
      <c r="AL3" s="1442" t="s">
        <v>8</v>
      </c>
      <c r="AM3" s="1442"/>
      <c r="AN3" s="1435" t="s">
        <v>10</v>
      </c>
      <c r="AO3" s="1435"/>
      <c r="AP3" s="1436" t="s">
        <v>109</v>
      </c>
      <c r="AQ3" s="1436"/>
      <c r="AR3" s="1442" t="s">
        <v>484</v>
      </c>
      <c r="AS3" s="1442"/>
      <c r="AT3" s="1435" t="s">
        <v>673</v>
      </c>
      <c r="AU3" s="1435"/>
      <c r="AV3" s="1436" t="s">
        <v>111</v>
      </c>
      <c r="AW3" s="1436"/>
      <c r="AX3" s="1435" t="s">
        <v>368</v>
      </c>
      <c r="AY3" s="1435"/>
      <c r="AZ3" s="1436" t="s">
        <v>485</v>
      </c>
      <c r="BA3" s="1436"/>
      <c r="BB3" s="1436" t="s">
        <v>486</v>
      </c>
      <c r="BC3" s="1436"/>
      <c r="BD3" s="1433" t="s">
        <v>669</v>
      </c>
      <c r="BE3" s="1433"/>
    </row>
    <row r="4" spans="1:59" ht="43.5" x14ac:dyDescent="0.7">
      <c r="B4" s="314" t="s">
        <v>465</v>
      </c>
      <c r="C4" s="314" t="s">
        <v>466</v>
      </c>
      <c r="D4" s="314" t="s">
        <v>465</v>
      </c>
      <c r="E4" s="314" t="s">
        <v>466</v>
      </c>
      <c r="F4" s="314" t="s">
        <v>465</v>
      </c>
      <c r="G4" s="314" t="s">
        <v>466</v>
      </c>
      <c r="H4" s="314" t="s">
        <v>465</v>
      </c>
      <c r="I4" s="314" t="s">
        <v>466</v>
      </c>
      <c r="J4" s="314" t="s">
        <v>465</v>
      </c>
      <c r="K4" s="314" t="s">
        <v>466</v>
      </c>
      <c r="L4" s="314" t="s">
        <v>465</v>
      </c>
      <c r="M4" s="314" t="s">
        <v>466</v>
      </c>
      <c r="N4" s="314" t="s">
        <v>465</v>
      </c>
      <c r="O4" s="314" t="s">
        <v>466</v>
      </c>
      <c r="P4" s="314" t="s">
        <v>465</v>
      </c>
      <c r="Q4" s="314" t="s">
        <v>466</v>
      </c>
      <c r="R4" s="314" t="s">
        <v>465</v>
      </c>
      <c r="S4" s="314" t="s">
        <v>466</v>
      </c>
      <c r="T4" s="314" t="s">
        <v>465</v>
      </c>
      <c r="U4" s="314" t="s">
        <v>466</v>
      </c>
      <c r="V4" s="314" t="s">
        <v>465</v>
      </c>
      <c r="W4" s="314" t="s">
        <v>466</v>
      </c>
      <c r="X4" s="314" t="s">
        <v>465</v>
      </c>
      <c r="Y4" s="314" t="s">
        <v>466</v>
      </c>
      <c r="Z4" s="314" t="s">
        <v>465</v>
      </c>
      <c r="AA4" s="314" t="s">
        <v>466</v>
      </c>
      <c r="AB4" s="314" t="s">
        <v>465</v>
      </c>
      <c r="AC4" s="314" t="s">
        <v>466</v>
      </c>
      <c r="AD4" s="314" t="s">
        <v>465</v>
      </c>
      <c r="AE4" s="314" t="s">
        <v>466</v>
      </c>
      <c r="AF4" s="314" t="s">
        <v>465</v>
      </c>
      <c r="AG4" s="314" t="s">
        <v>466</v>
      </c>
      <c r="AH4" s="314" t="s">
        <v>465</v>
      </c>
      <c r="AI4" s="314" t="s">
        <v>466</v>
      </c>
      <c r="AJ4" s="314" t="s">
        <v>465</v>
      </c>
      <c r="AK4" s="314" t="s">
        <v>466</v>
      </c>
      <c r="AL4" s="314" t="s">
        <v>465</v>
      </c>
      <c r="AM4" s="314" t="s">
        <v>466</v>
      </c>
      <c r="AN4" s="314" t="s">
        <v>465</v>
      </c>
      <c r="AO4" s="314" t="s">
        <v>466</v>
      </c>
      <c r="AP4" s="314" t="s">
        <v>465</v>
      </c>
      <c r="AQ4" s="314" t="s">
        <v>466</v>
      </c>
      <c r="AR4" s="314" t="s">
        <v>465</v>
      </c>
      <c r="AS4" s="314" t="s">
        <v>466</v>
      </c>
      <c r="AT4" s="314" t="s">
        <v>465</v>
      </c>
      <c r="AU4" s="314" t="s">
        <v>466</v>
      </c>
      <c r="AV4" s="314" t="s">
        <v>465</v>
      </c>
      <c r="AW4" s="314" t="s">
        <v>466</v>
      </c>
      <c r="AX4" s="314" t="s">
        <v>465</v>
      </c>
      <c r="AY4" s="314" t="s">
        <v>466</v>
      </c>
      <c r="AZ4" s="314" t="s">
        <v>465</v>
      </c>
      <c r="BA4" s="314" t="s">
        <v>466</v>
      </c>
      <c r="BB4" s="317" t="s">
        <v>465</v>
      </c>
      <c r="BC4" s="317" t="s">
        <v>466</v>
      </c>
      <c r="BD4" s="314" t="s">
        <v>465</v>
      </c>
      <c r="BE4" s="314" t="s">
        <v>466</v>
      </c>
      <c r="BF4" s="317" t="s">
        <v>465</v>
      </c>
      <c r="BG4" s="317" t="s">
        <v>466</v>
      </c>
    </row>
    <row r="5" spans="1:59" x14ac:dyDescent="0.65">
      <c r="A5" s="1318" t="str">
        <f>'Tribal Measure Tool'!H6</f>
        <v>Type Name Here</v>
      </c>
      <c r="B5" s="1319" t="e">
        <f>P5+AP5+AV5+AZ5+BB5+BD5+BF5</f>
        <v>#DIV/0!</v>
      </c>
      <c r="C5" s="1374" t="e">
        <f>B5/$F$5</f>
        <v>#DIV/0!</v>
      </c>
      <c r="D5" s="1319" t="e">
        <f>Z5</f>
        <v>#DIV/0!</v>
      </c>
      <c r="E5" s="1374" t="e">
        <f>D5/$F$5</f>
        <v>#DIV/0!</v>
      </c>
      <c r="F5" s="1319" t="e">
        <f>B5+D5</f>
        <v>#DIV/0!</v>
      </c>
      <c r="G5" s="1320" t="e">
        <f>F5/$F$5</f>
        <v>#DIV/0!</v>
      </c>
      <c r="H5" s="1319" t="e">
        <f>H6*Population*C14</f>
        <v>#DIV/0!</v>
      </c>
      <c r="I5" s="1320" t="e">
        <f>H5/$F$5</f>
        <v>#DIV/0!</v>
      </c>
      <c r="J5" s="1319" t="e">
        <f>J6*Population*D14</f>
        <v>#DIV/0!</v>
      </c>
      <c r="K5" s="1320" t="e">
        <f>J5/$F$5</f>
        <v>#DIV/0!</v>
      </c>
      <c r="L5" s="1319" t="e">
        <f>L6*Population*E14</f>
        <v>#DIV/0!</v>
      </c>
      <c r="M5" s="1320" t="e">
        <f>L5/$F$5</f>
        <v>#DIV/0!</v>
      </c>
      <c r="N5" s="1319" t="e">
        <f>H5+J5</f>
        <v>#DIV/0!</v>
      </c>
      <c r="O5" s="1320" t="e">
        <f>N5/$F$5</f>
        <v>#DIV/0!</v>
      </c>
      <c r="P5" s="1319" t="e">
        <f>N5+L5</f>
        <v>#DIV/0!</v>
      </c>
      <c r="Q5" s="1320" t="e">
        <f>P5/$F$5</f>
        <v>#DIV/0!</v>
      </c>
      <c r="R5" s="1319" t="e">
        <f>R6*Population*C14</f>
        <v>#DIV/0!</v>
      </c>
      <c r="S5" s="1320" t="e">
        <f>R5/$F$5</f>
        <v>#DIV/0!</v>
      </c>
      <c r="T5" s="1319" t="e">
        <f>T6*Population*D14</f>
        <v>#DIV/0!</v>
      </c>
      <c r="U5" s="1320" t="e">
        <f>T5/$F$5</f>
        <v>#DIV/0!</v>
      </c>
      <c r="V5" s="1319" t="e">
        <f>V6*Population*E14</f>
        <v>#DIV/0!</v>
      </c>
      <c r="W5" s="1320" t="e">
        <f>V5/$F$5</f>
        <v>#DIV/0!</v>
      </c>
      <c r="X5" s="1319" t="e">
        <f>R5+T5</f>
        <v>#DIV/0!</v>
      </c>
      <c r="Y5" s="1320" t="e">
        <f>X5/$F$5</f>
        <v>#DIV/0!</v>
      </c>
      <c r="Z5" s="1319" t="e">
        <f>X5+V5</f>
        <v>#DIV/0!</v>
      </c>
      <c r="AA5" s="1320" t="e">
        <f>Z5/$F$5</f>
        <v>#DIV/0!</v>
      </c>
      <c r="AB5" s="1319" t="e">
        <f>H5+R5</f>
        <v>#DIV/0!</v>
      </c>
      <c r="AC5" s="1320" t="e">
        <f>AB5/$F$5</f>
        <v>#DIV/0!</v>
      </c>
      <c r="AD5" s="1319" t="e">
        <f>J5+T5</f>
        <v>#DIV/0!</v>
      </c>
      <c r="AE5" s="1320" t="e">
        <f>AD5/$F$5</f>
        <v>#DIV/0!</v>
      </c>
      <c r="AF5" s="1319" t="e">
        <f>L5+V5</f>
        <v>#DIV/0!</v>
      </c>
      <c r="AG5" s="1320" t="e">
        <f>AF5/$F$5</f>
        <v>#DIV/0!</v>
      </c>
      <c r="AH5" s="1319" t="e">
        <f>AB5+AD5</f>
        <v>#DIV/0!</v>
      </c>
      <c r="AI5" s="1320" t="e">
        <f>AH5/$F$5</f>
        <v>#DIV/0!</v>
      </c>
      <c r="AJ5" s="1319" t="e">
        <f>AF5+AH5</f>
        <v>#DIV/0!</v>
      </c>
      <c r="AK5" s="1320" t="e">
        <f>AJ5/$F$5</f>
        <v>#DIV/0!</v>
      </c>
      <c r="AL5" s="1319">
        <f>AL6*Population</f>
        <v>0</v>
      </c>
      <c r="AM5" s="1320" t="e">
        <f>AL5/$F$5</f>
        <v>#DIV/0!</v>
      </c>
      <c r="AN5" s="1319">
        <f>AN6*Population</f>
        <v>0</v>
      </c>
      <c r="AO5" s="1320" t="e">
        <f>AN5/$F$5</f>
        <v>#DIV/0!</v>
      </c>
      <c r="AP5" s="1319">
        <f>AP6*Population</f>
        <v>0</v>
      </c>
      <c r="AQ5" s="1320" t="e">
        <f>AP5/$F$5</f>
        <v>#DIV/0!</v>
      </c>
      <c r="AR5" s="1319">
        <f>AR6*Population</f>
        <v>0</v>
      </c>
      <c r="AS5" s="1320" t="e">
        <f>AR5/$F$5</f>
        <v>#DIV/0!</v>
      </c>
      <c r="AT5" s="1319">
        <f>AT6*Population</f>
        <v>0</v>
      </c>
      <c r="AU5" s="1320" t="e">
        <f>AT5/$F$5</f>
        <v>#DIV/0!</v>
      </c>
      <c r="AV5" s="1319">
        <f>AV6*Population</f>
        <v>0</v>
      </c>
      <c r="AW5" s="1320" t="e">
        <f>AV5/$F$5</f>
        <v>#DIV/0!</v>
      </c>
      <c r="AX5" s="1319">
        <f>AX6*Population</f>
        <v>0</v>
      </c>
      <c r="AY5" s="1320" t="e">
        <f>AX5/$F$5</f>
        <v>#DIV/0!</v>
      </c>
      <c r="AZ5" s="1319">
        <f>AZ6*Population</f>
        <v>0</v>
      </c>
      <c r="BA5" s="1320" t="e">
        <f>AZ5/$F$5</f>
        <v>#DIV/0!</v>
      </c>
      <c r="BB5" s="1319">
        <f>BB6*Population</f>
        <v>0</v>
      </c>
      <c r="BC5" s="1320" t="e">
        <f>BB5/$F$5</f>
        <v>#DIV/0!</v>
      </c>
      <c r="BD5" s="1319">
        <f>BD6*Population</f>
        <v>0</v>
      </c>
      <c r="BE5" s="1320" t="e">
        <f>BD5/$F$5</f>
        <v>#DIV/0!</v>
      </c>
      <c r="BF5" s="1319">
        <f>BF6*Population</f>
        <v>0</v>
      </c>
      <c r="BG5" s="1320" t="e">
        <f>BF5/$F$5</f>
        <v>#DIV/0!</v>
      </c>
    </row>
    <row r="6" spans="1:59" s="468" customFormat="1" x14ac:dyDescent="0.65">
      <c r="A6" s="2" t="s">
        <v>835</v>
      </c>
      <c r="B6" s="468">
        <v>8.3750331829041684</v>
      </c>
      <c r="C6" s="469"/>
      <c r="D6" s="468">
        <v>3.7382532519246086</v>
      </c>
      <c r="E6" s="469"/>
      <c r="F6" s="468">
        <v>12.113253251924608</v>
      </c>
      <c r="G6" s="469"/>
      <c r="H6" s="468">
        <v>1.3770573400584019</v>
      </c>
      <c r="I6" s="469"/>
      <c r="J6" s="468">
        <v>9.0224316432174143E-2</v>
      </c>
      <c r="K6" s="469"/>
      <c r="L6" s="468">
        <v>0.83235996814441204</v>
      </c>
      <c r="M6" s="469"/>
      <c r="N6" s="468">
        <v>1.467281656490576</v>
      </c>
      <c r="O6" s="469"/>
      <c r="P6" s="468">
        <v>2.3005043801433502</v>
      </c>
      <c r="Q6" s="469"/>
      <c r="R6" s="468">
        <v>1.1072139633660738</v>
      </c>
      <c r="S6" s="469"/>
      <c r="T6" s="468">
        <v>0.12835147332094504</v>
      </c>
      <c r="U6" s="469"/>
      <c r="V6" s="468">
        <v>2.5923148393947439</v>
      </c>
      <c r="W6" s="469"/>
      <c r="X6" s="468">
        <v>1.304021767985134</v>
      </c>
      <c r="Y6" s="469"/>
      <c r="Z6" s="468">
        <v>3.7382532519246086</v>
      </c>
      <c r="AA6" s="469"/>
      <c r="AB6" s="468">
        <v>2.5526944518184234</v>
      </c>
      <c r="AC6" s="469"/>
      <c r="AD6" s="468">
        <v>0.2185757897531192</v>
      </c>
      <c r="AE6" s="469"/>
      <c r="AF6" s="468">
        <v>3.424674807539156</v>
      </c>
      <c r="AG6" s="469"/>
      <c r="AH6" s="468">
        <v>2.7712702415715422</v>
      </c>
      <c r="AI6" s="469"/>
      <c r="AJ6" s="468">
        <v>6.0387576320679583</v>
      </c>
      <c r="AK6" s="469"/>
      <c r="AL6" s="468">
        <v>0.29569285903902309</v>
      </c>
      <c r="AM6" s="469"/>
      <c r="AN6" s="468">
        <v>4.9105057074595164</v>
      </c>
      <c r="AO6" s="469"/>
      <c r="AP6" s="468">
        <v>5.2061653835943718</v>
      </c>
      <c r="AQ6" s="469"/>
      <c r="AR6" s="468">
        <v>5.2428988585080964E-3</v>
      </c>
      <c r="AS6" s="469"/>
      <c r="AT6" s="468">
        <v>0.2845102203344837</v>
      </c>
      <c r="AU6" s="469"/>
      <c r="AV6" s="468">
        <v>0.28975311919299179</v>
      </c>
      <c r="AW6" s="469"/>
      <c r="AX6" s="468">
        <v>7.7769445181842312E-2</v>
      </c>
      <c r="AY6" s="469"/>
      <c r="AZ6" s="468">
        <v>0.1312052030793735</v>
      </c>
      <c r="BA6" s="469"/>
      <c r="BB6" s="468">
        <v>0.11504541549904101</v>
      </c>
      <c r="BC6" s="469"/>
      <c r="BD6" s="468">
        <v>0.41067162198035573</v>
      </c>
      <c r="BE6" s="469"/>
      <c r="BF6" s="468">
        <v>3.6733474913724452E-2</v>
      </c>
      <c r="BG6" s="469"/>
    </row>
    <row r="7" spans="1:59" s="6" customFormat="1" x14ac:dyDescent="0.65">
      <c r="P7" s="319"/>
    </row>
    <row r="8" spans="1:59" s="6" customFormat="1" x14ac:dyDescent="0.65">
      <c r="B8" s="1437"/>
      <c r="C8" s="1437"/>
      <c r="D8" s="1437"/>
    </row>
    <row r="9" spans="1:59" s="6" customFormat="1" x14ac:dyDescent="0.65">
      <c r="A9" s="328">
        <v>1</v>
      </c>
      <c r="B9" s="328">
        <v>2</v>
      </c>
      <c r="C9" s="328">
        <v>3</v>
      </c>
      <c r="D9" s="329">
        <v>4</v>
      </c>
      <c r="E9" s="329">
        <v>5</v>
      </c>
      <c r="F9" s="329">
        <v>6</v>
      </c>
      <c r="G9" s="329">
        <v>7</v>
      </c>
      <c r="H9" s="329">
        <v>8</v>
      </c>
      <c r="I9" s="329">
        <v>9</v>
      </c>
      <c r="J9" s="329">
        <v>10</v>
      </c>
      <c r="K9" s="329">
        <v>11</v>
      </c>
      <c r="L9" s="329">
        <v>12</v>
      </c>
      <c r="M9" s="329">
        <v>13</v>
      </c>
      <c r="N9" s="329">
        <v>14</v>
      </c>
      <c r="O9" s="329">
        <v>15</v>
      </c>
      <c r="P9" s="329">
        <v>16</v>
      </c>
      <c r="Q9" s="329">
        <v>17</v>
      </c>
      <c r="R9" s="329">
        <v>18</v>
      </c>
      <c r="S9" s="329">
        <v>19</v>
      </c>
      <c r="T9" s="329">
        <v>20</v>
      </c>
      <c r="U9" s="329">
        <v>21</v>
      </c>
      <c r="V9" s="329">
        <v>22</v>
      </c>
      <c r="W9" s="329">
        <v>23</v>
      </c>
      <c r="X9" s="329">
        <v>24</v>
      </c>
      <c r="Y9" s="329">
        <v>25</v>
      </c>
      <c r="Z9" s="329">
        <v>26</v>
      </c>
    </row>
    <row r="10" spans="1:59" ht="78" customHeight="1" x14ac:dyDescent="0.7">
      <c r="B10" s="314" t="s">
        <v>503</v>
      </c>
      <c r="C10" s="314" t="s">
        <v>491</v>
      </c>
      <c r="D10" s="1239" t="s">
        <v>1290</v>
      </c>
      <c r="E10" s="314" t="s">
        <v>490</v>
      </c>
      <c r="F10" s="314" t="s">
        <v>526</v>
      </c>
      <c r="G10" s="314" t="s">
        <v>520</v>
      </c>
      <c r="H10" s="314" t="s">
        <v>531</v>
      </c>
      <c r="I10" s="314" t="s">
        <v>561</v>
      </c>
      <c r="J10" s="314" t="s">
        <v>562</v>
      </c>
      <c r="K10" s="314" t="s">
        <v>563</v>
      </c>
      <c r="L10" s="1239" t="s">
        <v>1313</v>
      </c>
      <c r="M10" s="1239" t="s">
        <v>1314</v>
      </c>
      <c r="N10" s="1239" t="s">
        <v>1315</v>
      </c>
      <c r="O10" s="317" t="s">
        <v>578</v>
      </c>
      <c r="P10" s="317" t="s">
        <v>579</v>
      </c>
      <c r="Q10" s="317" t="s">
        <v>580</v>
      </c>
      <c r="R10" s="317" t="s">
        <v>581</v>
      </c>
      <c r="S10" s="317" t="s">
        <v>593</v>
      </c>
      <c r="T10" s="404" t="s">
        <v>717</v>
      </c>
      <c r="U10" s="314" t="s">
        <v>720</v>
      </c>
      <c r="V10" s="314" t="s">
        <v>807</v>
      </c>
      <c r="W10" s="314" t="s">
        <v>815</v>
      </c>
      <c r="X10" s="3"/>
      <c r="Y10" s="314" t="s">
        <v>833</v>
      </c>
      <c r="Z10" s="1239" t="s">
        <v>489</v>
      </c>
      <c r="AL10" s="5"/>
    </row>
    <row r="11" spans="1:59" x14ac:dyDescent="0.65">
      <c r="A11" s="1318" t="str">
        <f>'Tribal Measure Tool'!H6</f>
        <v>Type Name Here</v>
      </c>
      <c r="B11" s="1319">
        <f>IF(State=B17,C17,IF(State=B18,C18,C19))</f>
        <v>1216</v>
      </c>
      <c r="C11" s="1319">
        <f>IF('Tribal Measure Tool'!J6="",C12*Population,'Tribal Measure Tool'!J6)</f>
        <v>0</v>
      </c>
      <c r="D11" s="1319">
        <f>IF('Tribal Measure Tool'!J7="",D12*Population,'Tribal Measure Tool'!J7)</f>
        <v>0</v>
      </c>
      <c r="E11" s="1319">
        <f>IF('Tribal Measure Tool'!J8="",E12*Population,'Tribal Measure Tool'!J8)</f>
        <v>0</v>
      </c>
      <c r="F11" s="1319">
        <f>F12*Population</f>
        <v>0</v>
      </c>
      <c r="G11" s="1319">
        <f>G12*Population</f>
        <v>0</v>
      </c>
      <c r="H11" s="1322">
        <f>State</f>
        <v>0</v>
      </c>
      <c r="I11" s="1319">
        <f t="shared" ref="I11:S11" si="0">I12*Population</f>
        <v>0</v>
      </c>
      <c r="J11" s="1319">
        <f t="shared" si="0"/>
        <v>0</v>
      </c>
      <c r="K11" s="1319">
        <f t="shared" si="0"/>
        <v>0</v>
      </c>
      <c r="L11" s="1319">
        <f t="shared" si="0"/>
        <v>0</v>
      </c>
      <c r="M11" s="1319">
        <f t="shared" si="0"/>
        <v>0</v>
      </c>
      <c r="N11" s="1319">
        <f t="shared" si="0"/>
        <v>0</v>
      </c>
      <c r="O11" s="1319">
        <f t="shared" si="0"/>
        <v>0</v>
      </c>
      <c r="P11" s="1319">
        <f t="shared" si="0"/>
        <v>0</v>
      </c>
      <c r="Q11" s="1319">
        <f t="shared" si="0"/>
        <v>0</v>
      </c>
      <c r="R11" s="1319">
        <f t="shared" si="0"/>
        <v>0</v>
      </c>
      <c r="S11" s="1319">
        <f t="shared" si="0"/>
        <v>0</v>
      </c>
      <c r="T11" s="1323">
        <f>IF(State=B17,D17,D18)</f>
        <v>601</v>
      </c>
      <c r="U11" s="1319">
        <f>U12*Population</f>
        <v>0</v>
      </c>
      <c r="V11" s="1319"/>
      <c r="W11" s="1324">
        <f>B11</f>
        <v>1216</v>
      </c>
      <c r="X11" s="1325" t="str">
        <f>IF(State=B17,E17,E18)</f>
        <v>MROW</v>
      </c>
      <c r="Y11" s="1318">
        <f>Population</f>
        <v>0</v>
      </c>
      <c r="Z11" s="1319">
        <f>Z12*Population</f>
        <v>0</v>
      </c>
    </row>
    <row r="12" spans="1:59" ht="14.5" x14ac:dyDescent="0.7">
      <c r="A12" s="2" t="s">
        <v>1045</v>
      </c>
      <c r="B12" s="468"/>
      <c r="C12" s="468">
        <v>0.29539421290151313</v>
      </c>
      <c r="D12" s="468">
        <v>2.2431830691449238E-2</v>
      </c>
      <c r="E12" s="468">
        <v>1.4434563312981152E-2</v>
      </c>
      <c r="F12" s="468">
        <v>557.1047276573704</v>
      </c>
      <c r="G12" s="468">
        <v>28.758625917414804</v>
      </c>
      <c r="H12" s="468"/>
      <c r="I12" s="468">
        <v>1.7884067884171823E-2</v>
      </c>
      <c r="J12" s="468">
        <v>4.9014128359747951E-2</v>
      </c>
      <c r="K12" s="468">
        <v>6.689819624391978E-2</v>
      </c>
      <c r="L12" s="468">
        <v>1.2667582337717884E-3</v>
      </c>
      <c r="M12" s="468">
        <v>1.1322616899836482E-3</v>
      </c>
      <c r="N12" s="468">
        <v>2.3989949742034312E-3</v>
      </c>
      <c r="O12" s="468">
        <v>215.83589014647407</v>
      </c>
      <c r="P12" s="468">
        <v>8.9914554500808457</v>
      </c>
      <c r="Q12" s="468">
        <v>162.50707149626666</v>
      </c>
      <c r="R12" s="468">
        <v>6.4967857832372036E-2</v>
      </c>
      <c r="S12" s="468">
        <v>1.7576619977661818E-4</v>
      </c>
      <c r="T12" s="468">
        <v>0.20054088133793468</v>
      </c>
      <c r="U12" s="468">
        <v>7.0937003072687927</v>
      </c>
      <c r="V12" s="468">
        <v>2.5799707990443325E-5</v>
      </c>
      <c r="W12" s="469"/>
      <c r="X12" s="1" t="s">
        <v>832</v>
      </c>
      <c r="Y12" s="1">
        <v>30136</v>
      </c>
      <c r="Z12" s="468">
        <v>1.1887775418104592E-2</v>
      </c>
    </row>
    <row r="13" spans="1:59" ht="14.5" x14ac:dyDescent="0.7">
      <c r="A13" s="2" t="s">
        <v>1353</v>
      </c>
      <c r="B13" s="468"/>
      <c r="C13" s="554">
        <f>C12*Population</f>
        <v>0</v>
      </c>
      <c r="D13" s="554">
        <f>D12*Population</f>
        <v>0</v>
      </c>
      <c r="E13" s="554">
        <f>E12*Population</f>
        <v>0</v>
      </c>
      <c r="F13" s="468"/>
      <c r="G13" s="468"/>
      <c r="H13" s="468"/>
      <c r="I13" s="468"/>
      <c r="J13" s="468"/>
      <c r="K13" s="468"/>
      <c r="L13" s="468"/>
      <c r="M13" s="468"/>
      <c r="N13" s="468"/>
      <c r="O13" s="468"/>
      <c r="P13" s="468"/>
      <c r="Q13" s="468"/>
      <c r="R13" s="468"/>
      <c r="S13" s="468"/>
      <c r="T13" s="468"/>
      <c r="U13" s="468"/>
      <c r="V13" s="468"/>
      <c r="W13" s="469"/>
      <c r="X13" s="1"/>
      <c r="Y13" s="1"/>
      <c r="Z13" s="468"/>
    </row>
    <row r="14" spans="1:59" ht="14.5" x14ac:dyDescent="0.7">
      <c r="A14" s="2" t="s">
        <v>1352</v>
      </c>
      <c r="B14" s="468"/>
      <c r="C14" s="358" t="e">
        <f>C11/C13</f>
        <v>#DIV/0!</v>
      </c>
      <c r="D14" s="358" t="e">
        <f>D11/D13</f>
        <v>#DIV/0!</v>
      </c>
      <c r="E14" s="358" t="e">
        <f>E11/E13</f>
        <v>#DIV/0!</v>
      </c>
      <c r="F14" s="468"/>
      <c r="G14" s="468"/>
      <c r="H14" s="468"/>
      <c r="I14" s="468"/>
      <c r="J14" s="468"/>
      <c r="K14" s="468"/>
      <c r="L14" s="468"/>
      <c r="M14" s="468"/>
      <c r="N14" s="468"/>
      <c r="O14" s="468"/>
      <c r="P14" s="468"/>
      <c r="Q14" s="468"/>
      <c r="R14" s="468"/>
      <c r="S14" s="468"/>
      <c r="T14" s="468"/>
      <c r="U14" s="468"/>
      <c r="V14" s="468"/>
      <c r="W14" s="469"/>
      <c r="X14" s="1"/>
      <c r="Y14" s="1"/>
      <c r="Z14" s="468"/>
    </row>
    <row r="15" spans="1:59" ht="14.5" x14ac:dyDescent="0.7">
      <c r="A15" s="2" t="s">
        <v>834</v>
      </c>
      <c r="B15" s="468"/>
      <c r="C15" s="468"/>
      <c r="D15" s="468"/>
      <c r="E15" s="468"/>
      <c r="F15" s="468"/>
      <c r="G15" s="468"/>
      <c r="H15" s="468"/>
      <c r="I15" s="495">
        <v>57.664367816091954</v>
      </c>
      <c r="J15" s="495">
        <v>179.59080459770115</v>
      </c>
      <c r="K15" s="495">
        <v>237.2551724137931</v>
      </c>
      <c r="L15" s="494">
        <v>4.6166187009196564</v>
      </c>
      <c r="M15" s="494">
        <v>4.1029418270555125</v>
      </c>
      <c r="N15" s="494">
        <v>8.7194561221064983</v>
      </c>
      <c r="O15" s="468"/>
      <c r="P15" s="468"/>
      <c r="Q15" s="468"/>
      <c r="R15" s="468"/>
      <c r="S15" s="494">
        <v>0.3462505428204678</v>
      </c>
      <c r="T15" s="468">
        <v>1181.686547460436</v>
      </c>
      <c r="U15" s="468"/>
      <c r="V15" s="468">
        <v>0.10589224521250197</v>
      </c>
      <c r="W15" s="469"/>
      <c r="X15" s="1"/>
      <c r="Y15" s="1"/>
    </row>
    <row r="16" spans="1:59" ht="14.5" x14ac:dyDescent="0.7">
      <c r="H16" s="5"/>
      <c r="T16" t="s">
        <v>1096</v>
      </c>
      <c r="V16" t="s">
        <v>1096</v>
      </c>
      <c r="X16" s="1" t="s">
        <v>834</v>
      </c>
      <c r="Y16" s="351"/>
    </row>
    <row r="17" spans="2:24" x14ac:dyDescent="0.65">
      <c r="B17" t="s">
        <v>347</v>
      </c>
      <c r="C17">
        <v>1003</v>
      </c>
      <c r="D17" s="8">
        <v>940</v>
      </c>
      <c r="E17" t="s">
        <v>147</v>
      </c>
      <c r="T17" s="5"/>
    </row>
    <row r="18" spans="2:24" x14ac:dyDescent="0.65">
      <c r="B18" t="s">
        <v>356</v>
      </c>
      <c r="C18">
        <v>1592</v>
      </c>
      <c r="D18">
        <v>601</v>
      </c>
      <c r="E18" s="1321" t="s">
        <v>144</v>
      </c>
      <c r="W18">
        <v>1216</v>
      </c>
      <c r="X18" t="s">
        <v>924</v>
      </c>
    </row>
    <row r="19" spans="2:24" x14ac:dyDescent="0.65">
      <c r="B19" t="s">
        <v>924</v>
      </c>
      <c r="C19">
        <v>1216</v>
      </c>
    </row>
    <row r="21" spans="2:24" x14ac:dyDescent="0.65">
      <c r="V21" s="298" t="s">
        <v>144</v>
      </c>
      <c r="W21" t="s">
        <v>816</v>
      </c>
      <c r="X21" s="298" t="s">
        <v>147</v>
      </c>
    </row>
    <row r="22" spans="2:24" x14ac:dyDescent="0.65">
      <c r="V22" s="299">
        <f>Factors!$N$14</f>
        <v>1003</v>
      </c>
      <c r="W22" s="299"/>
      <c r="X22" s="299"/>
    </row>
    <row r="23" spans="2:24" x14ac:dyDescent="0.65">
      <c r="W23">
        <f>0.25*Factors!$N$16+0.75*Factors!$N$15</f>
        <v>1457.2887080442047</v>
      </c>
    </row>
    <row r="24" spans="2:24" x14ac:dyDescent="0.65">
      <c r="V24" s="299">
        <f>Factors!$N$14</f>
        <v>1003</v>
      </c>
      <c r="W24" s="299"/>
      <c r="X24" s="299"/>
    </row>
    <row r="25" spans="2:24" x14ac:dyDescent="0.65">
      <c r="V25" s="299">
        <f>Factors!$N$14</f>
        <v>1003</v>
      </c>
      <c r="W25" s="299"/>
      <c r="X25" s="299"/>
    </row>
    <row r="26" spans="2:24" x14ac:dyDescent="0.65">
      <c r="U26" t="s">
        <v>792</v>
      </c>
      <c r="V26" s="299"/>
      <c r="W26" s="299"/>
      <c r="X26" s="299">
        <f>Factors!$N$15</f>
        <v>1592</v>
      </c>
    </row>
    <row r="27" spans="2:24" x14ac:dyDescent="0.65">
      <c r="V27" s="299">
        <f>Factors!$N$14</f>
        <v>1003</v>
      </c>
      <c r="W27" s="299"/>
      <c r="X27" s="299"/>
    </row>
    <row r="28" spans="2:24" x14ac:dyDescent="0.65">
      <c r="V28" s="299">
        <f>Factors!$N$14</f>
        <v>1003</v>
      </c>
      <c r="W28" s="299"/>
      <c r="X28" s="299"/>
    </row>
    <row r="29" spans="2:24" x14ac:dyDescent="0.65">
      <c r="V29" s="299">
        <f>Factors!$N$14</f>
        <v>1003</v>
      </c>
      <c r="W29" s="299"/>
      <c r="X29" s="299"/>
    </row>
  </sheetData>
  <sheetProtection selectLockedCells="1"/>
  <mergeCells count="36">
    <mergeCell ref="B8:D8"/>
    <mergeCell ref="AZ2:BC2"/>
    <mergeCell ref="BB3:BC3"/>
    <mergeCell ref="AL2:AW2"/>
    <mergeCell ref="AP3:AQ3"/>
    <mergeCell ref="AV3:AW3"/>
    <mergeCell ref="AX2:AY2"/>
    <mergeCell ref="B2:G2"/>
    <mergeCell ref="AR3:AS3"/>
    <mergeCell ref="AT3:AU3"/>
    <mergeCell ref="AL3:AM3"/>
    <mergeCell ref="AN3:AO3"/>
    <mergeCell ref="R3:S3"/>
    <mergeCell ref="D3:E3"/>
    <mergeCell ref="T3:U3"/>
    <mergeCell ref="V3:W3"/>
    <mergeCell ref="B3:C3"/>
    <mergeCell ref="F3:G3"/>
    <mergeCell ref="AX3:AY3"/>
    <mergeCell ref="P3:Q3"/>
    <mergeCell ref="N3:O3"/>
    <mergeCell ref="X3:Y3"/>
    <mergeCell ref="Z3:AA3"/>
    <mergeCell ref="AB3:AC3"/>
    <mergeCell ref="AD3:AE3"/>
    <mergeCell ref="AF3:AG3"/>
    <mergeCell ref="AH3:AI3"/>
    <mergeCell ref="AJ3:AK3"/>
    <mergeCell ref="BD2:BE2"/>
    <mergeCell ref="BD3:BE3"/>
    <mergeCell ref="BF2:BG2"/>
    <mergeCell ref="H2:AK2"/>
    <mergeCell ref="L3:M3"/>
    <mergeCell ref="H3:I3"/>
    <mergeCell ref="J3:K3"/>
    <mergeCell ref="AZ3:BA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CCA9-B913-47D2-A550-8E00A54B5B1F}">
  <sheetPr>
    <tabColor theme="8" tint="0.79998168889431442"/>
  </sheetPr>
  <dimension ref="A1:BE21"/>
  <sheetViews>
    <sheetView zoomScale="47" zoomScaleNormal="100" workbookViewId="0">
      <selection activeCell="M4" sqref="M4"/>
    </sheetView>
  </sheetViews>
  <sheetFormatPr defaultRowHeight="14.25" x14ac:dyDescent="0.65"/>
  <cols>
    <col min="1" max="6" width="37" style="325" customWidth="1"/>
    <col min="7" max="7" width="3.25" style="325" customWidth="1"/>
    <col min="8" max="8" width="36.875" style="325" customWidth="1"/>
    <col min="9" max="14" width="22.5" style="325" customWidth="1"/>
    <col min="15" max="30" width="9" style="325"/>
    <col min="31" max="31" width="46.875" style="325" customWidth="1"/>
    <col min="32" max="57" width="9" style="325"/>
  </cols>
  <sheetData>
    <row r="1" spans="1:14" s="459" customFormat="1" ht="36.25" x14ac:dyDescent="0.65">
      <c r="A1" s="458" t="str">
        <f>'Tribal Measure Tool'!$H$6</f>
        <v>Type Name Here</v>
      </c>
    </row>
    <row r="2" spans="1:14" s="505" customFormat="1" ht="36.25" x14ac:dyDescent="0.65">
      <c r="H2" s="1336"/>
      <c r="I2" s="1443" t="s">
        <v>879</v>
      </c>
      <c r="J2" s="1443"/>
      <c r="K2" s="1443" t="s">
        <v>878</v>
      </c>
      <c r="L2" s="1443"/>
      <c r="M2" s="1443" t="s">
        <v>880</v>
      </c>
      <c r="N2" s="1443"/>
    </row>
    <row r="3" spans="1:14" ht="37" x14ac:dyDescent="0.65">
      <c r="H3" s="1337"/>
      <c r="I3" s="1338" t="s">
        <v>667</v>
      </c>
      <c r="J3" s="1338" t="s">
        <v>668</v>
      </c>
      <c r="K3" s="1338" t="s">
        <v>667</v>
      </c>
      <c r="L3" s="1338" t="s">
        <v>668</v>
      </c>
      <c r="M3" s="1338" t="s">
        <v>667</v>
      </c>
      <c r="N3" s="1338" t="s">
        <v>668</v>
      </c>
    </row>
    <row r="4" spans="1:14" ht="18.5" x14ac:dyDescent="0.65">
      <c r="H4" s="1339" t="s">
        <v>472</v>
      </c>
      <c r="I4" s="1340" t="e">
        <f>VLOOKUP($A$1,'Tool Reference'!$A$5:$BE$5,2,FALSE)</f>
        <v>#DIV/0!</v>
      </c>
      <c r="J4" s="1341" t="e">
        <f>VLOOKUP($A$1,'Tool Reference'!$A$5:$BE$5,3,FALSE)</f>
        <v>#DIV/0!</v>
      </c>
      <c r="K4" s="1340" t="e">
        <f>VLOOKUP($A$1,'Tool Reference'!$A$5:$BE$5,4,FALSE)</f>
        <v>#DIV/0!</v>
      </c>
      <c r="L4" s="1341" t="e">
        <f>VLOOKUP($A$1,'Tool Reference'!$A$5:$BE$5,5,FALSE)</f>
        <v>#DIV/0!</v>
      </c>
      <c r="M4" s="1340" t="e">
        <f>VLOOKUP($A$1,'Tool Reference'!$A$5:$BE$5,6,FALSE)</f>
        <v>#DIV/0!</v>
      </c>
      <c r="N4" s="1341" t="e">
        <f>VLOOKUP($A$1,'Tool Reference'!$A$5:$BE$5,7,FALSE)</f>
        <v>#DIV/0!</v>
      </c>
    </row>
    <row r="5" spans="1:14" ht="18.5" x14ac:dyDescent="0.65">
      <c r="H5" s="1342" t="s">
        <v>3</v>
      </c>
      <c r="I5" s="1343" t="e">
        <f>VLOOKUP($A$1,'Tool Reference'!$A$5:$BE$5,16,FALSE)</f>
        <v>#DIV/0!</v>
      </c>
      <c r="J5" s="1344" t="e">
        <f>VLOOKUP($A$1,'Tool Reference'!$A$5:$BE$5,17,FALSE)</f>
        <v>#DIV/0!</v>
      </c>
      <c r="K5" s="1343" t="e">
        <f>VLOOKUP($A$1,'Tool Reference'!$A$5:$BE$5,26,FALSE)</f>
        <v>#DIV/0!</v>
      </c>
      <c r="L5" s="1344" t="e">
        <f>VLOOKUP($A$1,'Tool Reference'!$A$5:$BE$5,27,FALSE)</f>
        <v>#DIV/0!</v>
      </c>
      <c r="M5" s="1343" t="e">
        <f>VLOOKUP($A$1,'Tool Reference'!$A$5:$BE$5,36,FALSE)</f>
        <v>#DIV/0!</v>
      </c>
      <c r="N5" s="1344" t="e">
        <f>VLOOKUP($A$1,'Tool Reference'!$A$5:$BE$5,37,FALSE)</f>
        <v>#DIV/0!</v>
      </c>
    </row>
    <row r="6" spans="1:14" ht="18.5" x14ac:dyDescent="0.65">
      <c r="H6" s="1345" t="s">
        <v>881</v>
      </c>
      <c r="I6" s="1340" t="e">
        <f>VLOOKUP($A$1,'Tool Reference'!$A$5:$BE$5,14,FALSE)</f>
        <v>#DIV/0!</v>
      </c>
      <c r="J6" s="1341" t="e">
        <f>VLOOKUP($A$1,'Tool Reference'!$A$5:$BE$5,15,FALSE)</f>
        <v>#DIV/0!</v>
      </c>
      <c r="K6" s="1340" t="e">
        <f>VLOOKUP($A$1,'Tool Reference'!$A$5:$BE$5,24,FALSE)</f>
        <v>#DIV/0!</v>
      </c>
      <c r="L6" s="1341" t="e">
        <f>VLOOKUP($A$1,'Tool Reference'!$A$5:$BE$5,25,FALSE)</f>
        <v>#DIV/0!</v>
      </c>
      <c r="M6" s="1340" t="e">
        <f>VLOOKUP($A$1,'Tool Reference'!$A$5:$BE$5,34,FALSE)</f>
        <v>#DIV/0!</v>
      </c>
      <c r="N6" s="1341" t="e">
        <f>VLOOKUP($A$1,'Tool Reference'!$A$5:$BE$5,35,FALSE)</f>
        <v>#DIV/0!</v>
      </c>
    </row>
    <row r="7" spans="1:14" ht="18.5" x14ac:dyDescent="0.65">
      <c r="H7" s="1346" t="s">
        <v>882</v>
      </c>
      <c r="I7" s="1340" t="e">
        <f>VLOOKUP($A$1,'Tool Reference'!$A$5:$BE$5,8,FALSE)</f>
        <v>#DIV/0!</v>
      </c>
      <c r="J7" s="1341" t="e">
        <f>VLOOKUP($A$1,'Tool Reference'!$A$5:$BE$5,9,FALSE)</f>
        <v>#DIV/0!</v>
      </c>
      <c r="K7" s="1340" t="e">
        <f>VLOOKUP($A$1,'Tool Reference'!$A$5:$BE$5,18,FALSE)</f>
        <v>#DIV/0!</v>
      </c>
      <c r="L7" s="1341" t="e">
        <f>VLOOKUP($A$1,'Tool Reference'!$A$5:$BE$5,19,FALSE)</f>
        <v>#DIV/0!</v>
      </c>
      <c r="M7" s="1340" t="e">
        <f>VLOOKUP($A$1,'Tool Reference'!$A$5:$BE$5,28,FALSE)</f>
        <v>#DIV/0!</v>
      </c>
      <c r="N7" s="1341" t="e">
        <f>VLOOKUP($A$1,'Tool Reference'!$A$5:$BE$5,29,FALSE)</f>
        <v>#DIV/0!</v>
      </c>
    </row>
    <row r="8" spans="1:14" ht="18.5" x14ac:dyDescent="0.65">
      <c r="H8" s="1347" t="s">
        <v>883</v>
      </c>
      <c r="I8" s="1340" t="e">
        <f>VLOOKUP($A$1,'Tool Reference'!$A$5:$BE$5,10,FALSE)</f>
        <v>#DIV/0!</v>
      </c>
      <c r="J8" s="1341" t="e">
        <f>VLOOKUP($A$1,'Tool Reference'!$A$5:$BE$5,11,FALSE)</f>
        <v>#DIV/0!</v>
      </c>
      <c r="K8" s="1340" t="e">
        <f>VLOOKUP($A$1,'Tool Reference'!$A$5:$BE$5,20,FALSE)</f>
        <v>#DIV/0!</v>
      </c>
      <c r="L8" s="1341" t="e">
        <f>VLOOKUP($A$1,'Tool Reference'!$A$5:$BE$5,21,FALSE)</f>
        <v>#DIV/0!</v>
      </c>
      <c r="M8" s="1340" t="e">
        <f>VLOOKUP($A$1,'Tool Reference'!$A$5:$BE$5,30,FALSE)</f>
        <v>#DIV/0!</v>
      </c>
      <c r="N8" s="1341" t="e">
        <f>VLOOKUP($A$1,'Tool Reference'!$A$5:$BE$5,31,FALSE)</f>
        <v>#DIV/0!</v>
      </c>
    </row>
    <row r="9" spans="1:14" ht="18.5" x14ac:dyDescent="0.65">
      <c r="H9" s="1348" t="s">
        <v>106</v>
      </c>
      <c r="I9" s="1340" t="e">
        <f>VLOOKUP($A$1,'Tool Reference'!$A$5:$BE$5,12,FALSE)</f>
        <v>#DIV/0!</v>
      </c>
      <c r="J9" s="1341" t="e">
        <f>VLOOKUP($A$1,'Tool Reference'!$A$5:$BE$5,13,FALSE)</f>
        <v>#DIV/0!</v>
      </c>
      <c r="K9" s="1340" t="e">
        <f>VLOOKUP($A$1,'Tool Reference'!$A$5:$BE$5,22,FALSE)</f>
        <v>#DIV/0!</v>
      </c>
      <c r="L9" s="1341" t="e">
        <f>VLOOKUP($A$1,'Tool Reference'!$A$5:$BE$5,23,FALSE)</f>
        <v>#DIV/0!</v>
      </c>
      <c r="M9" s="1340" t="e">
        <f>VLOOKUP($A$1,'Tool Reference'!$A$5:$BE$5,32,FALSE)</f>
        <v>#DIV/0!</v>
      </c>
      <c r="N9" s="1341" t="e">
        <f>VLOOKUP($A$1,'Tool Reference'!$A$5:$BE$5,33,FALSE)</f>
        <v>#DIV/0!</v>
      </c>
    </row>
    <row r="10" spans="1:14" ht="18.5" x14ac:dyDescent="0.65">
      <c r="H10" s="1349" t="s">
        <v>6</v>
      </c>
      <c r="I10" s="1350">
        <f>I11+I14+I17</f>
        <v>0</v>
      </c>
      <c r="J10" s="1351" t="e">
        <f>J11+J14+J17</f>
        <v>#DIV/0!</v>
      </c>
      <c r="K10" s="1350">
        <v>0</v>
      </c>
      <c r="L10" s="1351">
        <v>0</v>
      </c>
      <c r="M10" s="1350">
        <f>M11+M14+M17</f>
        <v>0</v>
      </c>
      <c r="N10" s="1351" t="e">
        <f>N11+N14+N17</f>
        <v>#DIV/0!</v>
      </c>
    </row>
    <row r="11" spans="1:14" ht="18.5" x14ac:dyDescent="0.65">
      <c r="H11" s="1352" t="s">
        <v>884</v>
      </c>
      <c r="I11" s="1340">
        <f>VLOOKUP($A$1,'Tool Reference'!$A$5:$BE$5,42,FALSE)</f>
        <v>0</v>
      </c>
      <c r="J11" s="1341" t="e">
        <f>VLOOKUP($A$1,'Tool Reference'!$A$5:$BE$5,43,FALSE)</f>
        <v>#DIV/0!</v>
      </c>
      <c r="K11" s="1340">
        <v>0</v>
      </c>
      <c r="L11" s="1341">
        <v>0</v>
      </c>
      <c r="M11" s="1340">
        <f>VLOOKUP($A$1,'Tool Reference'!$A$5:$BE$5,42,FALSE)</f>
        <v>0</v>
      </c>
      <c r="N11" s="1341" t="e">
        <f>VLOOKUP($A$1,'Tool Reference'!$A$5:$BE$5,43,FALSE)</f>
        <v>#DIV/0!</v>
      </c>
    </row>
    <row r="12" spans="1:14" ht="18.5" x14ac:dyDescent="0.65">
      <c r="H12" s="1353" t="s">
        <v>8</v>
      </c>
      <c r="I12" s="1340">
        <f>VLOOKUP($A$1,'Tool Reference'!$A$5:$BE$5,38,FALSE)</f>
        <v>0</v>
      </c>
      <c r="J12" s="1341" t="e">
        <f>VLOOKUP($A$1,'Tool Reference'!$A$5:$BE$5,39,FALSE)</f>
        <v>#DIV/0!</v>
      </c>
      <c r="K12" s="1340">
        <v>0</v>
      </c>
      <c r="L12" s="1341">
        <v>0</v>
      </c>
      <c r="M12" s="1340">
        <f>VLOOKUP($A$1,'Tool Reference'!$A$5:$BE$5,38,FALSE)</f>
        <v>0</v>
      </c>
      <c r="N12" s="1341" t="e">
        <f>VLOOKUP($A$1,'Tool Reference'!$A$5:$BE$5,39,FALSE)</f>
        <v>#DIV/0!</v>
      </c>
    </row>
    <row r="13" spans="1:14" ht="18.5" x14ac:dyDescent="0.65">
      <c r="H13" s="1354" t="s">
        <v>10</v>
      </c>
      <c r="I13" s="1340">
        <f>VLOOKUP($A$1,'Tool Reference'!$A$5:$BE$5,40,FALSE)</f>
        <v>0</v>
      </c>
      <c r="J13" s="1341" t="e">
        <f>VLOOKUP($A$1,'Tool Reference'!$A$5:$BE$5,41,FALSE)</f>
        <v>#DIV/0!</v>
      </c>
      <c r="K13" s="1340">
        <v>0</v>
      </c>
      <c r="L13" s="1341">
        <v>0</v>
      </c>
      <c r="M13" s="1340">
        <f>VLOOKUP($A$1,'Tool Reference'!$A$5:$BE$5,40,FALSE)</f>
        <v>0</v>
      </c>
      <c r="N13" s="1341" t="e">
        <f>VLOOKUP($A$1,'Tool Reference'!$A$5:$BE$5,41,FALSE)</f>
        <v>#DIV/0!</v>
      </c>
    </row>
    <row r="14" spans="1:14" ht="18.5" x14ac:dyDescent="0.65">
      <c r="H14" s="1355" t="s">
        <v>885</v>
      </c>
      <c r="I14" s="1340">
        <f>VLOOKUP($A$1,'Tool Reference'!$A$5:$BE$5,48,FALSE)</f>
        <v>0</v>
      </c>
      <c r="J14" s="1341" t="e">
        <f>VLOOKUP($A$1,'Tool Reference'!$A$5:$BE$5,49,FALSE)</f>
        <v>#DIV/0!</v>
      </c>
      <c r="K14" s="1340">
        <v>0</v>
      </c>
      <c r="L14" s="1341">
        <v>0</v>
      </c>
      <c r="M14" s="1340">
        <f>VLOOKUP($A$1,'Tool Reference'!$A$5:$BE$5,48,FALSE)</f>
        <v>0</v>
      </c>
      <c r="N14" s="1341" t="e">
        <f>VLOOKUP($A$1,'Tool Reference'!$A$5:$BE$5,49,FALSE)</f>
        <v>#DIV/0!</v>
      </c>
    </row>
    <row r="15" spans="1:14" ht="18.5" x14ac:dyDescent="0.65">
      <c r="H15" s="1356" t="s">
        <v>484</v>
      </c>
      <c r="I15" s="1340">
        <f>VLOOKUP($A$1,'Tool Reference'!$A$5:$BE$5,44,FALSE)</f>
        <v>0</v>
      </c>
      <c r="J15" s="1341" t="e">
        <f>VLOOKUP($A$1,'Tool Reference'!$A$5:$BE$5,45,FALSE)</f>
        <v>#DIV/0!</v>
      </c>
      <c r="K15" s="1340">
        <v>0</v>
      </c>
      <c r="L15" s="1341">
        <v>0</v>
      </c>
      <c r="M15" s="1340">
        <f>VLOOKUP($A$1,'Tool Reference'!$A$5:$BE$5,44,FALSE)</f>
        <v>0</v>
      </c>
      <c r="N15" s="1341" t="e">
        <f>VLOOKUP($A$1,'Tool Reference'!$A$5:$BE$5,45,FALSE)</f>
        <v>#DIV/0!</v>
      </c>
    </row>
    <row r="16" spans="1:14" ht="18.5" x14ac:dyDescent="0.65">
      <c r="H16" s="1357" t="s">
        <v>673</v>
      </c>
      <c r="I16" s="1340">
        <f>VLOOKUP($A$1,'Tool Reference'!$A$5:$BE$5,46,FALSE)</f>
        <v>0</v>
      </c>
      <c r="J16" s="1341" t="e">
        <f>VLOOKUP($A$1,'Tool Reference'!$A$5:$BE$5,47,FALSE)</f>
        <v>#DIV/0!</v>
      </c>
      <c r="K16" s="1340">
        <v>0</v>
      </c>
      <c r="L16" s="1341">
        <v>0</v>
      </c>
      <c r="M16" s="1340">
        <f>VLOOKUP($A$1,'Tool Reference'!$A$5:$BE$5,46,FALSE)</f>
        <v>0</v>
      </c>
      <c r="N16" s="1341" t="e">
        <f>VLOOKUP($A$1,'Tool Reference'!$A$5:$BE$5,47,FALSE)</f>
        <v>#DIV/0!</v>
      </c>
    </row>
    <row r="17" spans="8:14" ht="18.5" x14ac:dyDescent="0.65">
      <c r="H17" s="1358" t="s">
        <v>110</v>
      </c>
      <c r="I17" s="1340">
        <f>VLOOKUP($A$1,'Tool Reference'!$A$5:$BE$5,56,FALSE)</f>
        <v>0</v>
      </c>
      <c r="J17" s="1341" t="e">
        <f>VLOOKUP($A$1,'Tool Reference'!$A$5:$BE$5,57,FALSE)</f>
        <v>#DIV/0!</v>
      </c>
      <c r="K17" s="1340">
        <v>0</v>
      </c>
      <c r="L17" s="1341">
        <v>0</v>
      </c>
      <c r="M17" s="1340">
        <f>VLOOKUP($A$1,'Tool Reference'!$A$5:$BE$5,56,FALSE)</f>
        <v>0</v>
      </c>
      <c r="N17" s="1341" t="e">
        <f>VLOOKUP($A$1,'Tool Reference'!$A$5:$BE$5,57,FALSE)</f>
        <v>#DIV/0!</v>
      </c>
    </row>
    <row r="18" spans="8:14" ht="18.5" x14ac:dyDescent="0.65">
      <c r="H18" s="1359" t="s">
        <v>709</v>
      </c>
      <c r="I18" s="1360">
        <f>SUM(I19:I21)</f>
        <v>0</v>
      </c>
      <c r="J18" s="1361" t="e">
        <f>SUM(J19:J21)</f>
        <v>#DIV/0!</v>
      </c>
      <c r="K18" s="1360">
        <v>0</v>
      </c>
      <c r="L18" s="1361">
        <v>0</v>
      </c>
      <c r="M18" s="1360">
        <f>SUM(M19:M21)</f>
        <v>0</v>
      </c>
      <c r="N18" s="1361" t="e">
        <f>SUM(N19:N21)</f>
        <v>#DIV/0!</v>
      </c>
    </row>
    <row r="19" spans="8:14" ht="18.5" x14ac:dyDescent="0.65">
      <c r="H19" s="1362" t="s">
        <v>108</v>
      </c>
      <c r="I19" s="1340">
        <f>VLOOKUP($A$1,'Tool Reference'!$A$5:$BE$5,52,FALSE)</f>
        <v>0</v>
      </c>
      <c r="J19" s="1341" t="e">
        <f>VLOOKUP($A$1,'Tool Reference'!$A$5:$BE$5,53,FALSE)</f>
        <v>#DIV/0!</v>
      </c>
      <c r="K19" s="1340">
        <v>0</v>
      </c>
      <c r="L19" s="1341">
        <v>0</v>
      </c>
      <c r="M19" s="1340">
        <f>VLOOKUP($A$1,'Tool Reference'!$A$5:$BE$5,52,FALSE)</f>
        <v>0</v>
      </c>
      <c r="N19" s="1341" t="e">
        <f>VLOOKUP($A$1,'Tool Reference'!$A$5:$BE$5,53,FALSE)</f>
        <v>#DIV/0!</v>
      </c>
    </row>
    <row r="20" spans="8:14" ht="18.5" x14ac:dyDescent="0.65">
      <c r="H20" s="1363" t="s">
        <v>886</v>
      </c>
      <c r="I20" s="1340">
        <f>VLOOKUP($A$1,'Tool Reference'!$A$5:$BE$5,54,FALSE)</f>
        <v>0</v>
      </c>
      <c r="J20" s="1341" t="e">
        <f>VLOOKUP($A$1,'Tool Reference'!$A$5:$BE$5,55,FALSE)</f>
        <v>#DIV/0!</v>
      </c>
      <c r="K20" s="1340">
        <v>0</v>
      </c>
      <c r="L20" s="1341">
        <v>0</v>
      </c>
      <c r="M20" s="1340">
        <f>VLOOKUP($A$1,'Tool Reference'!$A$5:$BE$5,54,FALSE)</f>
        <v>0</v>
      </c>
      <c r="N20" s="1341" t="e">
        <f>VLOOKUP($A$1,'Tool Reference'!$A$5:$BE$5,55,FALSE)</f>
        <v>#DIV/0!</v>
      </c>
    </row>
    <row r="21" spans="8:14" ht="18.5" x14ac:dyDescent="0.65">
      <c r="H21" s="1364" t="s">
        <v>675</v>
      </c>
      <c r="I21" s="1340">
        <f>VLOOKUP($A$1,'Tool Reference'!$A$5:$BG$5,58,FALSE)</f>
        <v>0</v>
      </c>
      <c r="J21" s="1341" t="e">
        <f>VLOOKUP($A$1,'Tool Reference'!$A$5:$BG$5,59,FALSE)</f>
        <v>#DIV/0!</v>
      </c>
      <c r="K21" s="1340">
        <v>0</v>
      </c>
      <c r="L21" s="1341">
        <v>0</v>
      </c>
      <c r="M21" s="1340">
        <f>VLOOKUP($A$1,'Tool Reference'!$A$5:$BG$5,58,FALSE)</f>
        <v>0</v>
      </c>
      <c r="N21" s="1341" t="e">
        <f>VLOOKUP($A$1,'Tool Reference'!$A$5:$BG$5,59,FALSE)</f>
        <v>#DIV/0!</v>
      </c>
    </row>
  </sheetData>
  <sheetProtection algorithmName="SHA-512" hashValue="eegAlsxs0iOqXz/gUbma6hwtKrTvT2x6SwNwlQicgSFjYmfMeAnJwh+IAVdEsVJ4yURhOQ1BdzD08sVrnUdBPg==" saltValue="Cg+seHMl2qAK24+zFZLeWg==" spinCount="100000" sheet="1" selectLockedCells="1"/>
  <mergeCells count="3">
    <mergeCell ref="I2:J2"/>
    <mergeCell ref="K2:L2"/>
    <mergeCell ref="M2:N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7393E-33E5-41E0-8E07-AEB70313C8AC}">
  <sheetPr>
    <tabColor theme="3"/>
  </sheetPr>
  <dimension ref="A1:AN138"/>
  <sheetViews>
    <sheetView zoomScale="70" zoomScaleNormal="70" workbookViewId="0">
      <selection activeCell="H37" sqref="H37"/>
    </sheetView>
  </sheetViews>
  <sheetFormatPr defaultRowHeight="14.25" x14ac:dyDescent="0.65"/>
  <cols>
    <col min="1" max="1" width="36.625" style="405" customWidth="1"/>
    <col min="2" max="2" width="17" style="405" customWidth="1"/>
    <col min="3" max="3" width="18.75" style="405" customWidth="1"/>
    <col min="4" max="21" width="8.75" style="405"/>
    <col min="22" max="22" width="31.25" style="405" bestFit="1" customWidth="1"/>
    <col min="23" max="26" width="8.75" style="405"/>
    <col min="27" max="27" width="3" hidden="1" customWidth="1"/>
    <col min="28" max="28" width="28" hidden="1" customWidth="1"/>
    <col min="29" max="40" width="8.75" style="405"/>
  </cols>
  <sheetData>
    <row r="1" spans="1:28" ht="36.25" x14ac:dyDescent="0.65">
      <c r="A1" s="428" t="str">
        <f>'Tribal Measure Tool'!$H$6</f>
        <v>Type Name Here</v>
      </c>
      <c r="AA1" s="405"/>
      <c r="AB1" s="405"/>
    </row>
    <row r="2" spans="1:28" ht="37" x14ac:dyDescent="0.65">
      <c r="B2" s="406" t="s">
        <v>667</v>
      </c>
      <c r="C2" s="406" t="s">
        <v>668</v>
      </c>
      <c r="AA2" s="405"/>
      <c r="AB2" s="405"/>
    </row>
    <row r="3" spans="1:28" ht="18.5" x14ac:dyDescent="0.65">
      <c r="A3" s="407" t="s">
        <v>473</v>
      </c>
      <c r="B3" s="408" t="e">
        <f>VLOOKUP($A$1,'Tool Reference'!$A$5:$BE$5,2,FALSE)</f>
        <v>#DIV/0!</v>
      </c>
      <c r="C3" s="407" t="e">
        <f>VLOOKUP($A$1,'Tool Reference'!$A$5:$BE$5,3,FALSE)</f>
        <v>#DIV/0!</v>
      </c>
      <c r="AA3" s="325"/>
      <c r="AB3" s="325"/>
    </row>
    <row r="4" spans="1:28" ht="20.25" x14ac:dyDescent="0.65">
      <c r="A4" s="407" t="s">
        <v>474</v>
      </c>
      <c r="B4" s="408" t="e">
        <f>VLOOKUP($A$1,'Tool Reference'!$A$5:$BE$5,4,FALSE)</f>
        <v>#DIV/0!</v>
      </c>
      <c r="C4" s="407" t="e">
        <f>VLOOKUP($A$1,'Tool Reference'!$A$5:$BE$5,5,FALSE)</f>
        <v>#DIV/0!</v>
      </c>
      <c r="AA4" s="1444" t="s">
        <v>3</v>
      </c>
      <c r="AB4" s="1444"/>
    </row>
    <row r="5" spans="1:28" ht="20.5" x14ac:dyDescent="0.65">
      <c r="A5" s="407" t="s">
        <v>475</v>
      </c>
      <c r="B5" s="408" t="e">
        <f>VLOOKUP($A$1,'Tool Reference'!$A$5:$BE$5,6,FALSE)</f>
        <v>#DIV/0!</v>
      </c>
      <c r="C5" s="407" t="e">
        <f>VLOOKUP($A$1,'Tool Reference'!$A$5:$BE$5,7,FALSE)</f>
        <v>#DIV/0!</v>
      </c>
      <c r="AA5" s="396"/>
      <c r="AB5" s="402" t="s">
        <v>710</v>
      </c>
    </row>
    <row r="6" spans="1:28" ht="20.5" x14ac:dyDescent="0.65">
      <c r="A6" s="407" t="s">
        <v>471</v>
      </c>
      <c r="B6" s="408" t="e">
        <f>VLOOKUP($A$1,'Tool Reference'!$A$5:$BE$5,8,FALSE)</f>
        <v>#DIV/0!</v>
      </c>
      <c r="C6" s="407" t="e">
        <f>VLOOKUP($A$1,'Tool Reference'!$A$5:$BE$5,9,FALSE)</f>
        <v>#DIV/0!</v>
      </c>
      <c r="AA6" s="397"/>
      <c r="AB6" s="402" t="s">
        <v>711</v>
      </c>
    </row>
    <row r="7" spans="1:28" ht="20.5" x14ac:dyDescent="0.65">
      <c r="A7" s="407" t="s">
        <v>464</v>
      </c>
      <c r="B7" s="408" t="e">
        <f>VLOOKUP($A$1,'Tool Reference'!$A$5:$BE$5,10,FALSE)</f>
        <v>#DIV/0!</v>
      </c>
      <c r="C7" s="407" t="e">
        <f>VLOOKUP($A$1,'Tool Reference'!$A$5:$BE$5,11,FALSE)</f>
        <v>#DIV/0!</v>
      </c>
      <c r="AA7" s="298"/>
      <c r="AB7" s="402" t="s">
        <v>712</v>
      </c>
    </row>
    <row r="8" spans="1:28" ht="18.5" x14ac:dyDescent="0.65">
      <c r="A8" s="407" t="s">
        <v>442</v>
      </c>
      <c r="B8" s="408" t="e">
        <f>VLOOKUP($A$1,'Tool Reference'!$A$5:$BE$5,12,FALSE)</f>
        <v>#DIV/0!</v>
      </c>
      <c r="C8" s="407" t="e">
        <f>VLOOKUP($A$1,'Tool Reference'!$A$5:$BE$5,13,FALSE)</f>
        <v>#DIV/0!</v>
      </c>
      <c r="AA8" s="325"/>
      <c r="AB8" s="325"/>
    </row>
    <row r="9" spans="1:28" ht="20.25" x14ac:dyDescent="0.65">
      <c r="A9" s="407" t="s">
        <v>478</v>
      </c>
      <c r="B9" s="408" t="e">
        <f>VLOOKUP($A$1,'Tool Reference'!$A$5:$BE$5,14,FALSE)</f>
        <v>#DIV/0!</v>
      </c>
      <c r="C9" s="407" t="e">
        <f>VLOOKUP($A$1,'Tool Reference'!$A$5:$BE$5,15,FALSE)</f>
        <v>#DIV/0!</v>
      </c>
      <c r="AA9" s="1444" t="s">
        <v>6</v>
      </c>
      <c r="AB9" s="1444"/>
    </row>
    <row r="10" spans="1:28" ht="20.5" x14ac:dyDescent="0.65">
      <c r="A10" s="407" t="s">
        <v>58</v>
      </c>
      <c r="B10" s="408" t="e">
        <f>VLOOKUP($A$1,'Tool Reference'!$A$5:$BE$5,16,FALSE)</f>
        <v>#DIV/0!</v>
      </c>
      <c r="C10" s="407" t="e">
        <f>VLOOKUP($A$1,'Tool Reference'!$A$5:$BE$5,17,FALSE)</f>
        <v>#DIV/0!</v>
      </c>
      <c r="AA10" s="398"/>
      <c r="AB10" s="402" t="s">
        <v>713</v>
      </c>
    </row>
    <row r="11" spans="1:28" ht="20.5" x14ac:dyDescent="0.65">
      <c r="A11" s="407" t="s">
        <v>470</v>
      </c>
      <c r="B11" s="408" t="e">
        <f>VLOOKUP($A$1,'Tool Reference'!$A$5:$BE$5,18,FALSE)</f>
        <v>#DIV/0!</v>
      </c>
      <c r="C11" s="407" t="e">
        <f>VLOOKUP($A$1,'Tool Reference'!$A$5:$BE$5,19,FALSE)</f>
        <v>#DIV/0!</v>
      </c>
      <c r="AA11" s="399"/>
      <c r="AB11" s="402" t="s">
        <v>715</v>
      </c>
    </row>
    <row r="12" spans="1:28" ht="20.5" x14ac:dyDescent="0.65">
      <c r="A12" s="407" t="s">
        <v>452</v>
      </c>
      <c r="B12" s="408" t="e">
        <f>VLOOKUP($A$1,'Tool Reference'!$A$5:$BE$5,20,FALSE)</f>
        <v>#DIV/0!</v>
      </c>
      <c r="C12" s="407" t="e">
        <f>VLOOKUP($A$1,'Tool Reference'!$A$5:$BE$5,21,FALSE)</f>
        <v>#DIV/0!</v>
      </c>
      <c r="AA12" s="400"/>
      <c r="AB12" s="402" t="s">
        <v>714</v>
      </c>
    </row>
    <row r="13" spans="1:28" ht="18.5" x14ac:dyDescent="0.65">
      <c r="A13" s="407" t="s">
        <v>430</v>
      </c>
      <c r="B13" s="408" t="e">
        <f>VLOOKUP($A$1,'Tool Reference'!$A$5:$BE$5,22,FALSE)</f>
        <v>#DIV/0!</v>
      </c>
      <c r="C13" s="407" t="e">
        <f>VLOOKUP($A$1,'Tool Reference'!$A$5:$BE$5,23,FALSE)</f>
        <v>#DIV/0!</v>
      </c>
      <c r="AA13" s="325"/>
      <c r="AB13" s="325"/>
    </row>
    <row r="14" spans="1:28" ht="20.25" x14ac:dyDescent="0.65">
      <c r="A14" s="407" t="s">
        <v>477</v>
      </c>
      <c r="B14" s="408" t="e">
        <f>VLOOKUP($A$1,'Tool Reference'!$A$5:$BE$5,24,FALSE)</f>
        <v>#DIV/0!</v>
      </c>
      <c r="C14" s="407" t="e">
        <f>VLOOKUP($A$1,'Tool Reference'!$A$5:$BE$5,25,FALSE)</f>
        <v>#DIV/0!</v>
      </c>
      <c r="L14" s="409"/>
      <c r="AA14" s="1444" t="s">
        <v>709</v>
      </c>
      <c r="AB14" s="1444"/>
    </row>
    <row r="15" spans="1:28" ht="20.5" x14ac:dyDescent="0.65">
      <c r="A15" s="407" t="s">
        <v>479</v>
      </c>
      <c r="B15" s="408" t="e">
        <f>VLOOKUP($A$1,'Tool Reference'!$A$5:$BE$5,26,FALSE)</f>
        <v>#DIV/0!</v>
      </c>
      <c r="C15" s="407" t="e">
        <f>VLOOKUP($A$1,'Tool Reference'!$A$5:$BE$5,27,FALSE)</f>
        <v>#DIV/0!</v>
      </c>
      <c r="AA15" s="401"/>
      <c r="AB15" s="402" t="s">
        <v>716</v>
      </c>
    </row>
    <row r="16" spans="1:28" s="405" customFormat="1" ht="18.5" x14ac:dyDescent="0.65">
      <c r="A16" s="407" t="s">
        <v>480</v>
      </c>
      <c r="B16" s="408" t="e">
        <f>VLOOKUP($A$1,'Tool Reference'!$A$5:$BE$5,28,FALSE)</f>
        <v>#DIV/0!</v>
      </c>
      <c r="C16" s="407" t="e">
        <f>VLOOKUP($A$1,'Tool Reference'!$A$5:$BE$5,29,FALSE)</f>
        <v>#DIV/0!</v>
      </c>
      <c r="E16" s="409"/>
    </row>
    <row r="17" spans="1:3" s="405" customFormat="1" ht="18.5" x14ac:dyDescent="0.65">
      <c r="A17" s="407" t="s">
        <v>481</v>
      </c>
      <c r="B17" s="408" t="e">
        <f>VLOOKUP($A$1,'Tool Reference'!$A$5:$BE$5,30,FALSE)</f>
        <v>#DIV/0!</v>
      </c>
      <c r="C17" s="407" t="e">
        <f>VLOOKUP($A$1,'Tool Reference'!$A$5:$BE$5,31,FALSE)</f>
        <v>#DIV/0!</v>
      </c>
    </row>
    <row r="18" spans="1:3" s="405" customFormat="1" ht="18.5" x14ac:dyDescent="0.65">
      <c r="A18" s="407" t="s">
        <v>482</v>
      </c>
      <c r="B18" s="408" t="e">
        <f>VLOOKUP($A$1,'Tool Reference'!$A$5:$BE$5,32,FALSE)</f>
        <v>#DIV/0!</v>
      </c>
      <c r="C18" s="407" t="e">
        <f>VLOOKUP($A$1,'Tool Reference'!$A$5:$BE$5,33,FALSE)</f>
        <v>#DIV/0!</v>
      </c>
    </row>
    <row r="19" spans="1:3" s="405" customFormat="1" ht="18.5" x14ac:dyDescent="0.65">
      <c r="A19" s="407" t="s">
        <v>476</v>
      </c>
      <c r="B19" s="408" t="e">
        <f>VLOOKUP($A$1,'Tool Reference'!$A$5:$BE$5,34,FALSE)</f>
        <v>#DIV/0!</v>
      </c>
      <c r="C19" s="407" t="e">
        <f>VLOOKUP($A$1,'Tool Reference'!$A$5:$BE$5,35,FALSE)</f>
        <v>#DIV/0!</v>
      </c>
    </row>
    <row r="20" spans="1:3" s="405" customFormat="1" ht="18.5" x14ac:dyDescent="0.65">
      <c r="A20" s="407" t="s">
        <v>483</v>
      </c>
      <c r="B20" s="408" t="e">
        <f>VLOOKUP($A$1,'Tool Reference'!$A$5:$BE$5,36,FALSE)</f>
        <v>#DIV/0!</v>
      </c>
      <c r="C20" s="407" t="e">
        <f>VLOOKUP($A$1,'Tool Reference'!$A$5:$BE$5,37,FALSE)</f>
        <v>#DIV/0!</v>
      </c>
    </row>
    <row r="21" spans="1:3" s="405" customFormat="1" ht="18.5" x14ac:dyDescent="0.65">
      <c r="A21" s="410" t="s">
        <v>8</v>
      </c>
      <c r="B21" s="408">
        <f>VLOOKUP($A$1,'Tool Reference'!$A$5:$BE$5,38,FALSE)</f>
        <v>0</v>
      </c>
      <c r="C21" s="407" t="e">
        <f>VLOOKUP($A$1,'Tool Reference'!$A$5:$BE$5,39,FALSE)</f>
        <v>#DIV/0!</v>
      </c>
    </row>
    <row r="22" spans="1:3" s="405" customFormat="1" ht="18.5" x14ac:dyDescent="0.65">
      <c r="A22" s="407" t="s">
        <v>10</v>
      </c>
      <c r="B22" s="408">
        <f>VLOOKUP($A$1,'Tool Reference'!$A$5:$BE$5,40,FALSE)</f>
        <v>0</v>
      </c>
      <c r="C22" s="407" t="e">
        <f>VLOOKUP($A$1,'Tool Reference'!$A$5:$BE$5,41,FALSE)</f>
        <v>#DIV/0!</v>
      </c>
    </row>
    <row r="23" spans="1:3" s="405" customFormat="1" ht="18.5" x14ac:dyDescent="0.65">
      <c r="A23" s="407" t="s">
        <v>109</v>
      </c>
      <c r="B23" s="408">
        <f>VLOOKUP($A$1,'Tool Reference'!$A$5:$BE$5,42,FALSE)</f>
        <v>0</v>
      </c>
      <c r="C23" s="407" t="e">
        <f>VLOOKUP($A$1,'Tool Reference'!$A$5:$BE$5,43,FALSE)</f>
        <v>#DIV/0!</v>
      </c>
    </row>
    <row r="24" spans="1:3" s="405" customFormat="1" ht="18.5" x14ac:dyDescent="0.65">
      <c r="A24" s="410" t="s">
        <v>484</v>
      </c>
      <c r="B24" s="408">
        <f>VLOOKUP($A$1,'Tool Reference'!$A$5:$BE$5,44,FALSE)</f>
        <v>0</v>
      </c>
      <c r="C24" s="407" t="e">
        <f>VLOOKUP($A$1,'Tool Reference'!$A$5:$BE$5,45,FALSE)</f>
        <v>#DIV/0!</v>
      </c>
    </row>
    <row r="25" spans="1:3" s="405" customFormat="1" ht="18.5" x14ac:dyDescent="0.65">
      <c r="A25" s="407" t="s">
        <v>673</v>
      </c>
      <c r="B25" s="408">
        <f>VLOOKUP($A$1,'Tool Reference'!$A$5:$BE$5,46,FALSE)</f>
        <v>0</v>
      </c>
      <c r="C25" s="407" t="e">
        <f>VLOOKUP($A$1,'Tool Reference'!$A$5:$BE$5,47,FALSE)</f>
        <v>#DIV/0!</v>
      </c>
    </row>
    <row r="26" spans="1:3" s="405" customFormat="1" ht="18.5" x14ac:dyDescent="0.65">
      <c r="A26" s="407" t="s">
        <v>111</v>
      </c>
      <c r="B26" s="408">
        <f>VLOOKUP($A$1,'Tool Reference'!$A$5:$BE$5,48,FALSE)</f>
        <v>0</v>
      </c>
      <c r="C26" s="407" t="e">
        <f>VLOOKUP($A$1,'Tool Reference'!$A$5:$BE$5,49,FALSE)</f>
        <v>#DIV/0!</v>
      </c>
    </row>
    <row r="27" spans="1:3" s="405" customFormat="1" ht="19.149999999999999" customHeight="1" x14ac:dyDescent="0.65">
      <c r="A27" s="407" t="s">
        <v>368</v>
      </c>
      <c r="B27" s="408">
        <f>VLOOKUP($A$1,'Tool Reference'!$A$5:$BE$5,50,FALSE)</f>
        <v>0</v>
      </c>
      <c r="C27" s="407" t="e">
        <f>VLOOKUP($A$1,'Tool Reference'!$A$5:$BE$5,51,FALSE)</f>
        <v>#DIV/0!</v>
      </c>
    </row>
    <row r="28" spans="1:3" s="405" customFormat="1" ht="18.5" x14ac:dyDescent="0.65">
      <c r="A28" s="407" t="s">
        <v>485</v>
      </c>
      <c r="B28" s="408">
        <f>VLOOKUP($A$1,'Tool Reference'!$A$5:$BE$5,52,FALSE)</f>
        <v>0</v>
      </c>
      <c r="C28" s="407" t="e">
        <f>VLOOKUP($A$1,'Tool Reference'!$A$5:$BE$5,53,FALSE)</f>
        <v>#DIV/0!</v>
      </c>
    </row>
    <row r="29" spans="1:3" s="405" customFormat="1" ht="18.5" x14ac:dyDescent="0.65">
      <c r="A29" s="407" t="s">
        <v>486</v>
      </c>
      <c r="B29" s="408">
        <f>VLOOKUP($A$1,'Tool Reference'!$A$5:$BE$5,54,FALSE)</f>
        <v>0</v>
      </c>
      <c r="C29" s="407" t="e">
        <f>VLOOKUP($A$1,'Tool Reference'!$A$5:$BE$5,55,FALSE)</f>
        <v>#DIV/0!</v>
      </c>
    </row>
    <row r="30" spans="1:3" s="405" customFormat="1" ht="18.5" x14ac:dyDescent="0.65">
      <c r="A30" s="407" t="s">
        <v>110</v>
      </c>
      <c r="B30" s="408">
        <f>VLOOKUP($A$1,'Tool Reference'!$A$5:$BE$5,56,FALSE)</f>
        <v>0</v>
      </c>
      <c r="C30" s="407" t="e">
        <f>VLOOKUP($A$1,'Tool Reference'!$A$5:$BE$5,57,FALSE)</f>
        <v>#DIV/0!</v>
      </c>
    </row>
    <row r="31" spans="1:3" s="405" customFormat="1" ht="18.5" x14ac:dyDescent="0.65">
      <c r="A31" s="407" t="s">
        <v>675</v>
      </c>
      <c r="B31" s="408">
        <f>VLOOKUP($A$1,'Tool Reference'!$A$5:$BG$5,58,FALSE)</f>
        <v>0</v>
      </c>
      <c r="C31" s="407" t="e">
        <f>VLOOKUP($A$1,'Tool Reference'!$A$5:$BG$5,59,FALSE)</f>
        <v>#DIV/0!</v>
      </c>
    </row>
    <row r="32" spans="1:3" s="405" customFormat="1" ht="18.5" x14ac:dyDescent="0.65">
      <c r="A32" s="407" t="s">
        <v>671</v>
      </c>
      <c r="B32" s="408">
        <f>B23+B26+B30</f>
        <v>0</v>
      </c>
      <c r="C32" s="411" t="e">
        <f>C23+C26+C30</f>
        <v>#DIV/0!</v>
      </c>
    </row>
    <row r="33" spans="1:7" s="405" customFormat="1" ht="18.5" x14ac:dyDescent="0.65">
      <c r="A33" s="407" t="s">
        <v>672</v>
      </c>
      <c r="B33" s="408">
        <f>B28+B29+B31</f>
        <v>0</v>
      </c>
      <c r="C33" s="411" t="e">
        <f>C28+C29+C31</f>
        <v>#DIV/0!</v>
      </c>
    </row>
    <row r="34" spans="1:7" s="405" customFormat="1" ht="37" x14ac:dyDescent="0.65">
      <c r="A34" s="407"/>
      <c r="B34" s="406" t="s">
        <v>670</v>
      </c>
      <c r="C34" s="407"/>
    </row>
    <row r="35" spans="1:7" s="405" customFormat="1" ht="18.5" x14ac:dyDescent="0.65">
      <c r="A35" s="407" t="s">
        <v>491</v>
      </c>
      <c r="B35" s="408">
        <f>VLOOKUP($A$1,'Tool Reference'!$A$11:$E$11,3,FALSE)</f>
        <v>0</v>
      </c>
      <c r="C35" s="407"/>
    </row>
    <row r="36" spans="1:7" s="405" customFormat="1" ht="18.5" x14ac:dyDescent="0.65">
      <c r="A36" s="407" t="s">
        <v>489</v>
      </c>
      <c r="B36" s="408">
        <f>VLOOKUP($A$1,'Tool Reference'!$A$11:$E$11,4,FALSE)</f>
        <v>0</v>
      </c>
      <c r="C36" s="407"/>
    </row>
    <row r="37" spans="1:7" s="405" customFormat="1" ht="18.5" x14ac:dyDescent="0.65">
      <c r="A37" s="407" t="s">
        <v>490</v>
      </c>
      <c r="B37" s="408">
        <f>VLOOKUP($A$1,'Tool Reference'!$A$11:$E$11,5,FALSE)</f>
        <v>0</v>
      </c>
      <c r="C37" s="407"/>
    </row>
    <row r="38" spans="1:7" s="405" customFormat="1" x14ac:dyDescent="0.65">
      <c r="G38" s="409"/>
    </row>
    <row r="39" spans="1:7" s="405" customFormat="1" ht="15" thickBot="1" x14ac:dyDescent="0.8">
      <c r="G39" s="409"/>
    </row>
    <row r="40" spans="1:7" s="405" customFormat="1" x14ac:dyDescent="0.65">
      <c r="A40" s="412" t="s">
        <v>480</v>
      </c>
      <c r="B40" s="413" t="e">
        <f>B16</f>
        <v>#DIV/0!</v>
      </c>
      <c r="C40" s="414" t="e">
        <f>B40/($B$40+$B$41+$B$42+$B$45+$B$46+$B$47+$B$50)</f>
        <v>#DIV/0!</v>
      </c>
      <c r="G40" s="409"/>
    </row>
    <row r="41" spans="1:7" s="405" customFormat="1" x14ac:dyDescent="0.65">
      <c r="A41" s="415" t="s">
        <v>481</v>
      </c>
      <c r="B41" s="416" t="e">
        <f>B17</f>
        <v>#DIV/0!</v>
      </c>
      <c r="C41" s="417" t="e">
        <f>B41/($B$40+$B$41+$B$42+$B$45+$B$46+$B$47+$B$50)</f>
        <v>#DIV/0!</v>
      </c>
    </row>
    <row r="42" spans="1:7" s="405" customFormat="1" x14ac:dyDescent="0.65">
      <c r="A42" s="415" t="s">
        <v>482</v>
      </c>
      <c r="B42" s="416" t="e">
        <f>B18</f>
        <v>#DIV/0!</v>
      </c>
      <c r="C42" s="417" t="e">
        <f>B42/($B$40+$B$41+$B$42+$B$45+$B$46+$B$47+$B$50)</f>
        <v>#DIV/0!</v>
      </c>
    </row>
    <row r="43" spans="1:7" s="405" customFormat="1" ht="14.5" x14ac:dyDescent="0.7">
      <c r="A43" s="418" t="s">
        <v>483</v>
      </c>
      <c r="B43" s="419" t="e">
        <f>B20</f>
        <v>#DIV/0!</v>
      </c>
      <c r="C43" s="420" t="e">
        <f>B43/($B$43+$B$48+$B$50)</f>
        <v>#DIV/0!</v>
      </c>
    </row>
    <row r="44" spans="1:7" s="405" customFormat="1" x14ac:dyDescent="0.65">
      <c r="A44" s="415"/>
      <c r="C44" s="421"/>
    </row>
    <row r="45" spans="1:7" s="405" customFormat="1" x14ac:dyDescent="0.65">
      <c r="A45" s="415" t="s">
        <v>109</v>
      </c>
      <c r="B45" s="416">
        <f>B23</f>
        <v>0</v>
      </c>
      <c r="C45" s="417" t="e">
        <f>B45/($B$40+$B$41+$B$42+$B$45+$B$46+$B$47+$B$50)</f>
        <v>#DIV/0!</v>
      </c>
    </row>
    <row r="46" spans="1:7" s="405" customFormat="1" x14ac:dyDescent="0.65">
      <c r="A46" s="415" t="s">
        <v>111</v>
      </c>
      <c r="B46" s="416">
        <f>B26</f>
        <v>0</v>
      </c>
      <c r="C46" s="417" t="e">
        <f>B46/($B$40+$B$41+$B$42+$B$45+$B$46+$B$47+$B$50)</f>
        <v>#DIV/0!</v>
      </c>
    </row>
    <row r="47" spans="1:7" s="405" customFormat="1" x14ac:dyDescent="0.65">
      <c r="A47" s="415" t="s">
        <v>110</v>
      </c>
      <c r="B47" s="416">
        <f>B30</f>
        <v>0</v>
      </c>
      <c r="C47" s="417" t="e">
        <f>B47/($B$40+$B$41+$B$42+$B$45+$B$46+$B$47+$B$50)</f>
        <v>#DIV/0!</v>
      </c>
    </row>
    <row r="48" spans="1:7" s="405" customFormat="1" ht="14.5" x14ac:dyDescent="0.7">
      <c r="A48" s="418" t="s">
        <v>671</v>
      </c>
      <c r="B48" s="419">
        <f>B32</f>
        <v>0</v>
      </c>
      <c r="C48" s="420" t="e">
        <f>B48/($B$43+$B$48+$B$50)</f>
        <v>#DIV/0!</v>
      </c>
    </row>
    <row r="49" spans="1:3" s="405" customFormat="1" x14ac:dyDescent="0.65">
      <c r="A49" s="415"/>
      <c r="C49" s="421"/>
    </row>
    <row r="50" spans="1:3" s="405" customFormat="1" ht="15.25" thickBot="1" x14ac:dyDescent="0.85">
      <c r="A50" s="422" t="s">
        <v>672</v>
      </c>
      <c r="B50" s="423">
        <f>B33</f>
        <v>0</v>
      </c>
      <c r="C50" s="424" t="e">
        <f>B50/($B$40+$B$41+$B$42+$B$45+$B$46+$B$47+$B$50)</f>
        <v>#DIV/0!</v>
      </c>
    </row>
    <row r="51" spans="1:3" s="405" customFormat="1" x14ac:dyDescent="0.65"/>
    <row r="52" spans="1:3" s="405" customFormat="1" x14ac:dyDescent="0.65"/>
    <row r="53" spans="1:3" s="405" customFormat="1" x14ac:dyDescent="0.65"/>
    <row r="54" spans="1:3" s="405" customFormat="1" x14ac:dyDescent="0.65"/>
    <row r="55" spans="1:3" s="405" customFormat="1" x14ac:dyDescent="0.65"/>
    <row r="56" spans="1:3" s="405" customFormat="1" x14ac:dyDescent="0.65"/>
    <row r="57" spans="1:3" s="405" customFormat="1" x14ac:dyDescent="0.65"/>
    <row r="58" spans="1:3" s="405" customFormat="1" x14ac:dyDescent="0.65"/>
    <row r="59" spans="1:3" s="405" customFormat="1" x14ac:dyDescent="0.65"/>
    <row r="60" spans="1:3" s="405" customFormat="1" x14ac:dyDescent="0.65"/>
    <row r="61" spans="1:3" s="405" customFormat="1" x14ac:dyDescent="0.65"/>
    <row r="62" spans="1:3" s="405" customFormat="1" x14ac:dyDescent="0.65"/>
    <row r="63" spans="1:3" s="405" customFormat="1" x14ac:dyDescent="0.65"/>
    <row r="64" spans="1:3" s="405" customFormat="1" x14ac:dyDescent="0.65"/>
    <row r="65" s="405" customFormat="1" x14ac:dyDescent="0.65"/>
    <row r="66" s="405" customFormat="1" x14ac:dyDescent="0.65"/>
    <row r="67" s="405" customFormat="1" x14ac:dyDescent="0.65"/>
    <row r="68" s="405" customFormat="1" x14ac:dyDescent="0.65"/>
    <row r="69" s="405" customFormat="1" x14ac:dyDescent="0.65"/>
    <row r="70" s="405" customFormat="1" x14ac:dyDescent="0.65"/>
    <row r="71" s="405" customFormat="1" x14ac:dyDescent="0.65"/>
    <row r="72" s="405" customFormat="1" x14ac:dyDescent="0.65"/>
    <row r="73" s="405" customFormat="1" x14ac:dyDescent="0.65"/>
    <row r="74" s="405" customFormat="1" x14ac:dyDescent="0.65"/>
    <row r="75" s="405" customFormat="1" x14ac:dyDescent="0.65"/>
    <row r="76" s="405" customFormat="1" x14ac:dyDescent="0.65"/>
    <row r="77" s="405" customFormat="1" x14ac:dyDescent="0.65"/>
    <row r="78" s="405" customFormat="1" x14ac:dyDescent="0.65"/>
    <row r="79" s="405" customFormat="1" x14ac:dyDescent="0.65"/>
    <row r="80" s="405" customFormat="1" x14ac:dyDescent="0.65"/>
    <row r="81" s="405" customFormat="1" x14ac:dyDescent="0.65"/>
    <row r="82" s="405" customFormat="1" x14ac:dyDescent="0.65"/>
    <row r="83" s="405" customFormat="1" x14ac:dyDescent="0.65"/>
    <row r="84" s="405" customFormat="1" x14ac:dyDescent="0.65"/>
    <row r="85" s="405" customFormat="1" x14ac:dyDescent="0.65"/>
    <row r="86" s="405" customFormat="1" x14ac:dyDescent="0.65"/>
    <row r="87" s="405" customFormat="1" x14ac:dyDescent="0.65"/>
    <row r="88" s="405" customFormat="1" x14ac:dyDescent="0.65"/>
    <row r="89" s="405" customFormat="1" x14ac:dyDescent="0.65"/>
    <row r="90" s="405" customFormat="1" x14ac:dyDescent="0.65"/>
    <row r="91" s="405" customFormat="1" x14ac:dyDescent="0.65"/>
    <row r="92" s="405" customFormat="1" x14ac:dyDescent="0.65"/>
    <row r="93" s="405" customFormat="1" x14ac:dyDescent="0.65"/>
    <row r="94" s="405" customFormat="1" x14ac:dyDescent="0.65"/>
    <row r="95" s="405" customFormat="1" x14ac:dyDescent="0.65"/>
    <row r="96" s="405" customFormat="1" x14ac:dyDescent="0.65"/>
    <row r="97" s="405" customFormat="1" x14ac:dyDescent="0.65"/>
    <row r="98" s="405" customFormat="1" x14ac:dyDescent="0.65"/>
    <row r="99" s="405" customFormat="1" x14ac:dyDescent="0.65"/>
    <row r="100" s="405" customFormat="1" x14ac:dyDescent="0.65"/>
    <row r="101" s="405" customFormat="1" x14ac:dyDescent="0.65"/>
    <row r="102" s="405" customFormat="1" x14ac:dyDescent="0.65"/>
    <row r="103" s="405" customFormat="1" x14ac:dyDescent="0.65"/>
    <row r="104" s="405" customFormat="1" x14ac:dyDescent="0.65"/>
    <row r="105" s="405" customFormat="1" x14ac:dyDescent="0.65"/>
    <row r="106" s="405" customFormat="1" x14ac:dyDescent="0.65"/>
    <row r="107" s="405" customFormat="1" x14ac:dyDescent="0.65"/>
    <row r="108" s="405" customFormat="1" x14ac:dyDescent="0.65"/>
    <row r="109" s="405" customFormat="1" x14ac:dyDescent="0.65"/>
    <row r="110" s="405" customFormat="1" x14ac:dyDescent="0.65"/>
    <row r="111" s="405" customFormat="1" x14ac:dyDescent="0.65"/>
    <row r="112" s="405" customFormat="1" x14ac:dyDescent="0.65"/>
    <row r="113" s="405" customFormat="1" x14ac:dyDescent="0.65"/>
    <row r="114" s="405" customFormat="1" x14ac:dyDescent="0.65"/>
    <row r="115" s="405" customFormat="1" x14ac:dyDescent="0.65"/>
    <row r="116" s="405" customFormat="1" x14ac:dyDescent="0.65"/>
    <row r="117" s="405" customFormat="1" x14ac:dyDescent="0.65"/>
    <row r="118" s="405" customFormat="1" x14ac:dyDescent="0.65"/>
    <row r="119" s="405" customFormat="1" x14ac:dyDescent="0.65"/>
    <row r="120" s="405" customFormat="1" x14ac:dyDescent="0.65"/>
    <row r="121" s="405" customFormat="1" x14ac:dyDescent="0.65"/>
    <row r="122" s="405" customFormat="1" x14ac:dyDescent="0.65"/>
    <row r="123" s="405" customFormat="1" x14ac:dyDescent="0.65"/>
    <row r="124" s="405" customFormat="1" x14ac:dyDescent="0.65"/>
    <row r="125" s="405" customFormat="1" x14ac:dyDescent="0.65"/>
    <row r="126" s="405" customFormat="1" x14ac:dyDescent="0.65"/>
    <row r="127" s="405" customFormat="1" x14ac:dyDescent="0.65"/>
    <row r="128" s="405" customFormat="1" x14ac:dyDescent="0.65"/>
    <row r="129" s="405" customFormat="1" x14ac:dyDescent="0.65"/>
    <row r="130" s="405" customFormat="1" x14ac:dyDescent="0.65"/>
    <row r="131" s="405" customFormat="1" x14ac:dyDescent="0.65"/>
    <row r="132" s="405" customFormat="1" x14ac:dyDescent="0.65"/>
    <row r="133" s="405" customFormat="1" x14ac:dyDescent="0.65"/>
    <row r="134" s="405" customFormat="1" x14ac:dyDescent="0.65"/>
    <row r="135" s="405" customFormat="1" x14ac:dyDescent="0.65"/>
    <row r="136" s="405" customFormat="1" x14ac:dyDescent="0.65"/>
    <row r="137" s="405" customFormat="1" x14ac:dyDescent="0.65"/>
    <row r="138" s="405" customFormat="1" x14ac:dyDescent="0.65"/>
  </sheetData>
  <mergeCells count="3">
    <mergeCell ref="AA4:AB4"/>
    <mergeCell ref="AA9:AB9"/>
    <mergeCell ref="AA14:AB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773EB-282A-459A-ABDC-62B23C580164}">
  <sheetPr>
    <tabColor theme="6" tint="0.79998168889431442"/>
  </sheetPr>
  <dimension ref="A1:AC64"/>
  <sheetViews>
    <sheetView zoomScale="66" zoomScaleNormal="90" workbookViewId="0">
      <pane ySplit="3" topLeftCell="A4" activePane="bottomLeft" state="frozen"/>
      <selection activeCell="C27" sqref="C27"/>
      <selection pane="bottomLeft" activeCell="I15" sqref="I15"/>
    </sheetView>
  </sheetViews>
  <sheetFormatPr defaultRowHeight="14.25" x14ac:dyDescent="0.65"/>
  <cols>
    <col min="1" max="1" width="21.75" customWidth="1"/>
    <col min="2" max="2" width="17.375" customWidth="1"/>
    <col min="3" max="3" width="13.125" customWidth="1"/>
    <col min="4" max="4" width="37.375" customWidth="1"/>
    <col min="5" max="5" width="59.375" customWidth="1"/>
    <col min="6" max="6" width="55.875" style="20" customWidth="1"/>
    <col min="7" max="9" width="20" style="473" customWidth="1"/>
    <col min="10" max="10" width="20" style="1157" customWidth="1"/>
    <col min="11" max="11" width="20.625" style="473" customWidth="1"/>
    <col min="12" max="12" width="13.625" style="662" customWidth="1"/>
    <col min="13" max="13" width="13.625" style="529" customWidth="1"/>
    <col min="14" max="16" width="11.875" style="511" customWidth="1"/>
    <col min="17" max="21" width="13.625" style="511" customWidth="1"/>
    <col min="22" max="24" width="13.625" style="473" customWidth="1"/>
    <col min="25" max="25" width="25.125" customWidth="1"/>
    <col min="26" max="27" width="8.75" customWidth="1"/>
    <col min="28" max="28" width="9" customWidth="1"/>
  </cols>
  <sheetData>
    <row r="1" spans="1:25" s="325" customFormat="1" ht="26.65" customHeight="1" x14ac:dyDescent="0.65">
      <c r="G1" s="1150"/>
      <c r="H1" s="1150"/>
      <c r="I1" s="1288" t="e">
        <f>SUM(I11:I39)</f>
        <v>#REF!</v>
      </c>
      <c r="J1" s="1158"/>
      <c r="K1" s="1157"/>
      <c r="L1" s="1511" t="s">
        <v>905</v>
      </c>
      <c r="M1" s="1179" t="s">
        <v>904</v>
      </c>
      <c r="N1" s="1180" t="s">
        <v>892</v>
      </c>
      <c r="O1" s="1250" t="s">
        <v>1312</v>
      </c>
      <c r="P1" s="1180" t="s">
        <v>894</v>
      </c>
      <c r="Q1" s="1180" t="s">
        <v>895</v>
      </c>
      <c r="R1" s="1181" t="s">
        <v>900</v>
      </c>
      <c r="S1" s="1181" t="s">
        <v>991</v>
      </c>
      <c r="T1" s="1181" t="s">
        <v>992</v>
      </c>
      <c r="U1" s="1181" t="s">
        <v>908</v>
      </c>
      <c r="V1" s="1182"/>
      <c r="W1" s="1182"/>
      <c r="X1" s="1182"/>
      <c r="Y1" s="1182"/>
    </row>
    <row r="2" spans="1:25" s="325" customFormat="1" ht="47.65" customHeight="1" thickBot="1" x14ac:dyDescent="0.8">
      <c r="F2" s="1183"/>
      <c r="G2" s="1151"/>
      <c r="H2" s="1288"/>
      <c r="I2" s="1184" t="s">
        <v>1259</v>
      </c>
      <c r="J2" s="1151"/>
      <c r="K2" s="1157"/>
      <c r="L2" s="1512"/>
      <c r="M2" s="1185" t="e">
        <f>SUM('Tool Reference'!#REF!)</f>
        <v>#REF!</v>
      </c>
      <c r="N2" s="1186" t="e">
        <f>SUM('Tool Reference'!#REF!)</f>
        <v>#REF!</v>
      </c>
      <c r="O2" s="1186" t="e">
        <f>SUM('Tool Reference'!#REF!)</f>
        <v>#REF!</v>
      </c>
      <c r="P2" s="1186" t="e">
        <f>N2+O2</f>
        <v>#REF!</v>
      </c>
      <c r="Q2" s="1186" t="e">
        <f>SUM('Tool Reference'!#REF!)</f>
        <v>#REF!</v>
      </c>
      <c r="R2" s="583" t="e">
        <f>P2+Q2</f>
        <v>#REF!</v>
      </c>
      <c r="S2" s="583" t="e">
        <f>SUM('Tool Reference'!#REF!, F27)</f>
        <v>#REF!</v>
      </c>
      <c r="T2" s="583" t="e">
        <f>SUM('Tool Reference'!#REF!, F27)</f>
        <v>#REF!</v>
      </c>
      <c r="U2" s="583" t="e">
        <f>SUM('Tool Reference'!#REF!)</f>
        <v>#REF!</v>
      </c>
      <c r="V2" s="1157"/>
      <c r="W2" s="1157"/>
      <c r="X2" s="1157"/>
    </row>
    <row r="3" spans="1:25" ht="72.75" customHeight="1" thickBot="1" x14ac:dyDescent="0.8">
      <c r="A3" s="463" t="s">
        <v>433</v>
      </c>
      <c r="B3" s="464" t="s">
        <v>812</v>
      </c>
      <c r="C3" s="600" t="s">
        <v>806</v>
      </c>
      <c r="D3" s="464" t="s">
        <v>813</v>
      </c>
      <c r="E3" s="464" t="s">
        <v>923</v>
      </c>
      <c r="F3" s="464" t="s">
        <v>891</v>
      </c>
      <c r="G3" s="465" t="s">
        <v>961</v>
      </c>
      <c r="H3" s="465" t="s">
        <v>1181</v>
      </c>
      <c r="I3" s="465" t="s">
        <v>1231</v>
      </c>
      <c r="J3" s="1159"/>
      <c r="K3" s="465" t="s">
        <v>1026</v>
      </c>
      <c r="L3" s="530" t="s">
        <v>902</v>
      </c>
      <c r="M3" s="528" t="s">
        <v>903</v>
      </c>
      <c r="N3" s="510" t="s">
        <v>897</v>
      </c>
      <c r="O3" s="510" t="s">
        <v>896</v>
      </c>
      <c r="P3" s="510" t="s">
        <v>898</v>
      </c>
      <c r="Q3" s="510" t="s">
        <v>899</v>
      </c>
      <c r="R3" s="510" t="s">
        <v>901</v>
      </c>
      <c r="S3" s="510" t="s">
        <v>906</v>
      </c>
      <c r="T3" s="510" t="s">
        <v>907</v>
      </c>
      <c r="U3" s="510" t="s">
        <v>909</v>
      </c>
      <c r="V3" s="474" t="s">
        <v>1021</v>
      </c>
      <c r="W3" s="474" t="s">
        <v>1033</v>
      </c>
      <c r="X3" s="474" t="s">
        <v>742</v>
      </c>
    </row>
    <row r="4" spans="1:25" ht="36.75" customHeight="1" x14ac:dyDescent="0.65">
      <c r="A4" s="1513" t="s">
        <v>434</v>
      </c>
      <c r="B4" s="1522" t="s">
        <v>796</v>
      </c>
      <c r="C4" s="1508" t="e">
        <f>#REF!/#REF!</f>
        <v>#REF!</v>
      </c>
      <c r="D4" s="1505" t="s">
        <v>462</v>
      </c>
      <c r="E4" s="477" t="s">
        <v>983</v>
      </c>
      <c r="F4" s="509" t="s">
        <v>1059</v>
      </c>
      <c r="G4" s="1516" t="e">
        <f>SUM(M4:M6)</f>
        <v>#REF!</v>
      </c>
      <c r="H4" s="1528">
        <f>SUM(I4:I6)</f>
        <v>236804400</v>
      </c>
      <c r="I4" s="1187">
        <v>78314400</v>
      </c>
      <c r="J4" s="1152"/>
      <c r="K4" s="667" t="e">
        <f>M4</f>
        <v>#REF!</v>
      </c>
      <c r="L4" s="653" t="e">
        <f>Renewables_OLD!F10</f>
        <v>#REF!</v>
      </c>
      <c r="M4" s="531" t="e">
        <f t="shared" ref="M4:M38" si="0">L4/$M$2</f>
        <v>#REF!</v>
      </c>
      <c r="N4" s="512" t="e">
        <f>$N$2*0.8</f>
        <v>#REF!</v>
      </c>
      <c r="O4" s="515"/>
      <c r="P4" s="515"/>
      <c r="Q4" s="515"/>
      <c r="R4" s="515"/>
      <c r="S4" s="515"/>
      <c r="T4" s="515"/>
      <c r="U4" s="515"/>
      <c r="V4" s="474"/>
      <c r="W4" s="474"/>
      <c r="X4" s="474"/>
      <c r="Y4" s="8"/>
    </row>
    <row r="5" spans="1:25" ht="36.75" customHeight="1" x14ac:dyDescent="0.65">
      <c r="A5" s="1514"/>
      <c r="B5" s="1524"/>
      <c r="C5" s="1509"/>
      <c r="D5" s="1506"/>
      <c r="E5" s="631" t="s">
        <v>1056</v>
      </c>
      <c r="F5" s="581" t="s">
        <v>1057</v>
      </c>
      <c r="G5" s="1517"/>
      <c r="H5" s="1517"/>
      <c r="I5" s="1187">
        <v>90990000</v>
      </c>
      <c r="J5" s="1152"/>
      <c r="K5" s="668" t="e">
        <f t="shared" ref="K5:K17" si="1">M5</f>
        <v>#REF!</v>
      </c>
      <c r="L5" s="653" t="e">
        <f>Renewables_OLD!F38</f>
        <v>#REF!</v>
      </c>
      <c r="M5" s="531" t="e">
        <f t="shared" si="0"/>
        <v>#REF!</v>
      </c>
      <c r="N5" s="512" t="e">
        <f>$N$2*0.3</f>
        <v>#REF!</v>
      </c>
      <c r="O5" s="515"/>
      <c r="P5" s="515"/>
      <c r="Q5" s="515"/>
      <c r="R5" s="515"/>
      <c r="S5" s="515"/>
      <c r="T5" s="515"/>
      <c r="U5" s="515"/>
      <c r="V5" s="474"/>
      <c r="W5" s="474"/>
      <c r="X5" s="474"/>
      <c r="Y5" s="8"/>
    </row>
    <row r="6" spans="1:25" ht="36.75" customHeight="1" thickBot="1" x14ac:dyDescent="0.8">
      <c r="A6" s="1514"/>
      <c r="B6" s="1524"/>
      <c r="C6" s="1510"/>
      <c r="D6" s="1507"/>
      <c r="E6" s="601" t="s">
        <v>972</v>
      </c>
      <c r="F6" s="1189" t="s">
        <v>987</v>
      </c>
      <c r="G6" s="1518"/>
      <c r="H6" s="1518"/>
      <c r="I6" s="1187">
        <f>'Summary PCAP Cost Data'!L5</f>
        <v>67500000</v>
      </c>
      <c r="J6" s="1152"/>
      <c r="K6" s="669" t="e">
        <f t="shared" si="1"/>
        <v>#REF!</v>
      </c>
      <c r="L6" s="653">
        <f>Renewables!E13</f>
        <v>0</v>
      </c>
      <c r="M6" s="531" t="e">
        <f t="shared" si="0"/>
        <v>#REF!</v>
      </c>
      <c r="N6" s="512" t="e">
        <f>$N$2*0.3</f>
        <v>#REF!</v>
      </c>
      <c r="O6" s="515"/>
      <c r="P6" s="515"/>
      <c r="Q6" s="515"/>
      <c r="R6" s="515"/>
      <c r="S6" s="515"/>
      <c r="T6" s="515"/>
      <c r="U6" s="515"/>
      <c r="V6" s="474"/>
      <c r="W6" s="474"/>
      <c r="X6" s="474"/>
      <c r="Y6" s="8"/>
    </row>
    <row r="7" spans="1:25" ht="36.75" customHeight="1" x14ac:dyDescent="0.65">
      <c r="A7" s="1514"/>
      <c r="B7" s="1524"/>
      <c r="C7" s="1508" t="e">
        <f>#REF!/#REF!</f>
        <v>#REF!</v>
      </c>
      <c r="D7" s="1505" t="s">
        <v>461</v>
      </c>
      <c r="E7" s="603" t="s">
        <v>1048</v>
      </c>
      <c r="F7" s="604" t="s">
        <v>1333</v>
      </c>
      <c r="G7" s="1519" t="e">
        <f>SUM(M7:M9)</f>
        <v>#REF!</v>
      </c>
      <c r="H7" s="1528" t="e">
        <f>SUM(I7:I9)</f>
        <v>#REF!</v>
      </c>
      <c r="I7" s="1187">
        <v>36072900</v>
      </c>
      <c r="J7" s="1152"/>
      <c r="K7" s="670" t="e">
        <f>M7</f>
        <v>#REF!</v>
      </c>
      <c r="L7" s="653">
        <f>Renewables_OLD!G21</f>
        <v>0</v>
      </c>
      <c r="M7" s="531" t="e">
        <f>L7/$M$2</f>
        <v>#REF!</v>
      </c>
      <c r="N7" s="516"/>
      <c r="O7" s="512">
        <f>SUM('Tool Reference'!Z11:Z11)*0.75</f>
        <v>0</v>
      </c>
      <c r="P7" s="515" t="s">
        <v>1331</v>
      </c>
      <c r="Q7" s="515"/>
      <c r="R7" s="515"/>
      <c r="S7" s="515"/>
      <c r="T7" s="515"/>
      <c r="U7" s="515"/>
      <c r="V7" s="474"/>
      <c r="W7" s="474"/>
      <c r="X7" s="474"/>
      <c r="Y7" s="8"/>
    </row>
    <row r="8" spans="1:25" ht="36.75" customHeight="1" x14ac:dyDescent="0.65">
      <c r="A8" s="1514"/>
      <c r="B8" s="1524"/>
      <c r="C8" s="1509"/>
      <c r="D8" s="1506"/>
      <c r="E8" s="541" t="s">
        <v>1058</v>
      </c>
      <c r="F8" s="581" t="s">
        <v>1334</v>
      </c>
      <c r="G8" s="1520"/>
      <c r="H8" s="1529"/>
      <c r="I8" s="1187">
        <v>45073750</v>
      </c>
      <c r="J8" s="1152"/>
      <c r="K8" s="668" t="e">
        <f t="shared" si="1"/>
        <v>#REF!</v>
      </c>
      <c r="L8" s="653">
        <f>Renewables_OLD!F42</f>
        <v>0</v>
      </c>
      <c r="M8" s="531" t="e">
        <f t="shared" si="0"/>
        <v>#REF!</v>
      </c>
      <c r="N8" s="515"/>
      <c r="O8" s="512">
        <f>SUM('Tool Reference'!Z11:Z11)*0.3</f>
        <v>0</v>
      </c>
      <c r="P8" s="515" t="s">
        <v>1331</v>
      </c>
      <c r="Q8" s="515"/>
      <c r="R8" s="515"/>
      <c r="S8" s="515"/>
      <c r="T8" s="515"/>
      <c r="U8" s="515"/>
      <c r="V8" s="474"/>
      <c r="W8" s="474"/>
      <c r="X8" s="474"/>
      <c r="Y8" s="8"/>
    </row>
    <row r="9" spans="1:25" ht="36.75" customHeight="1" thickBot="1" x14ac:dyDescent="0.8">
      <c r="A9" s="1514"/>
      <c r="B9" s="1524"/>
      <c r="C9" s="1510"/>
      <c r="D9" s="1507"/>
      <c r="E9" s="602" t="s">
        <v>973</v>
      </c>
      <c r="F9" s="1189" t="s">
        <v>1332</v>
      </c>
      <c r="G9" s="1521"/>
      <c r="H9" s="1530"/>
      <c r="I9" s="1187" t="e">
        <f>'Summary PCAP Cost Data'!L6</f>
        <v>#REF!</v>
      </c>
      <c r="J9" s="1152"/>
      <c r="K9" s="671" t="e">
        <f t="shared" si="1"/>
        <v>#REF!</v>
      </c>
      <c r="L9" s="653" t="e">
        <f>Renewables_OLD!E50</f>
        <v>#REF!</v>
      </c>
      <c r="M9" s="531" t="e">
        <f t="shared" si="0"/>
        <v>#REF!</v>
      </c>
      <c r="N9" s="515"/>
      <c r="O9" s="512" t="e">
        <f>O2*0.3</f>
        <v>#REF!</v>
      </c>
      <c r="P9" s="515"/>
      <c r="Q9" s="515"/>
      <c r="R9" s="515"/>
      <c r="S9" s="515"/>
      <c r="T9" s="515"/>
      <c r="U9" s="515"/>
      <c r="V9" s="474"/>
      <c r="W9" s="474"/>
      <c r="X9" s="1223"/>
      <c r="Y9" s="8"/>
    </row>
    <row r="10" spans="1:25" ht="36.75" customHeight="1" x14ac:dyDescent="0.65">
      <c r="A10" s="1514"/>
      <c r="B10" s="1524"/>
      <c r="C10" s="1508" t="e">
        <f>#REF!/#REF!</f>
        <v>#REF!</v>
      </c>
      <c r="D10" s="1505" t="s">
        <v>460</v>
      </c>
      <c r="E10" s="603" t="s">
        <v>890</v>
      </c>
      <c r="F10" s="604" t="s">
        <v>986</v>
      </c>
      <c r="G10" s="1516" t="e">
        <f>SUM(M10:M12)</f>
        <v>#REF!</v>
      </c>
      <c r="H10" s="1528">
        <f>SUM(I10:I12)</f>
        <v>184927666.66666666</v>
      </c>
      <c r="I10" s="1187">
        <v>61686000</v>
      </c>
      <c r="J10" s="1152"/>
      <c r="K10" s="667" t="e">
        <f t="shared" si="1"/>
        <v>#REF!</v>
      </c>
      <c r="L10" s="653" t="e">
        <f>Renewables_OLD!G34</f>
        <v>#REF!</v>
      </c>
      <c r="M10" s="531" t="e">
        <f t="shared" si="0"/>
        <v>#REF!</v>
      </c>
      <c r="N10" s="515"/>
      <c r="O10" s="515"/>
      <c r="P10" s="515"/>
      <c r="Q10" s="510" t="e">
        <f>$Q$2*0.6</f>
        <v>#REF!</v>
      </c>
      <c r="R10" s="515"/>
      <c r="S10" s="515"/>
      <c r="T10" s="515"/>
      <c r="U10" s="515"/>
      <c r="V10" s="474"/>
      <c r="W10" s="474"/>
      <c r="X10" s="474"/>
    </row>
    <row r="11" spans="1:25" ht="36.75" customHeight="1" x14ac:dyDescent="0.65">
      <c r="A11" s="1514"/>
      <c r="B11" s="1524"/>
      <c r="C11" s="1509"/>
      <c r="D11" s="1506"/>
      <c r="E11" s="541" t="s">
        <v>1036</v>
      </c>
      <c r="F11" s="581" t="s">
        <v>1037</v>
      </c>
      <c r="G11" s="1517"/>
      <c r="H11" s="1517"/>
      <c r="I11" s="1187">
        <v>96887500</v>
      </c>
      <c r="J11" s="1152"/>
      <c r="K11" s="672" t="e">
        <f t="shared" si="1"/>
        <v>#REF!</v>
      </c>
      <c r="L11" s="653" t="e">
        <f>Renewables_OLD!F46</f>
        <v>#REF!</v>
      </c>
      <c r="M11" s="531" t="e">
        <f t="shared" si="0"/>
        <v>#REF!</v>
      </c>
      <c r="N11" s="515"/>
      <c r="O11" s="515"/>
      <c r="P11" s="515"/>
      <c r="Q11" s="512" t="e">
        <f>$Q$2*0.3</f>
        <v>#REF!</v>
      </c>
      <c r="R11" s="515"/>
      <c r="S11" s="515"/>
      <c r="T11" s="515"/>
      <c r="U11" s="515"/>
      <c r="V11" s="474"/>
      <c r="W11" s="474"/>
      <c r="X11" s="474"/>
    </row>
    <row r="12" spans="1:25" ht="36.75" customHeight="1" thickBot="1" x14ac:dyDescent="0.8">
      <c r="A12" s="1514"/>
      <c r="B12" s="1524"/>
      <c r="C12" s="1510"/>
      <c r="D12" s="1507"/>
      <c r="E12" s="602" t="s">
        <v>974</v>
      </c>
      <c r="F12" s="605" t="s">
        <v>988</v>
      </c>
      <c r="G12" s="1518"/>
      <c r="H12" s="1518"/>
      <c r="I12" s="1187">
        <f>'Summary PCAP Cost Data'!L7</f>
        <v>26354166.666666668</v>
      </c>
      <c r="J12" s="1152"/>
      <c r="K12" s="671" t="e">
        <f t="shared" si="1"/>
        <v>#REF!</v>
      </c>
      <c r="L12" s="653" t="e">
        <f>Renewables_OLD!E54</f>
        <v>#REF!</v>
      </c>
      <c r="M12" s="531" t="e">
        <f t="shared" si="0"/>
        <v>#REF!</v>
      </c>
      <c r="N12" s="515"/>
      <c r="O12" s="515"/>
      <c r="P12" s="515"/>
      <c r="Q12" s="512" t="e">
        <f>$Q$2*0.3</f>
        <v>#REF!</v>
      </c>
      <c r="R12" s="515"/>
      <c r="S12" s="515"/>
      <c r="T12" s="515"/>
      <c r="U12" s="515"/>
      <c r="V12" s="474"/>
      <c r="W12" s="474"/>
      <c r="X12" s="474"/>
    </row>
    <row r="13" spans="1:25" ht="36.75" customHeight="1" x14ac:dyDescent="0.65">
      <c r="A13" s="1514"/>
      <c r="B13" s="1524"/>
      <c r="C13" s="1508" t="e">
        <f>#REF!/#REF!</f>
        <v>#REF!</v>
      </c>
      <c r="D13" s="1505" t="s">
        <v>794</v>
      </c>
      <c r="E13" s="603" t="s">
        <v>1039</v>
      </c>
      <c r="F13" s="604" t="s">
        <v>1040</v>
      </c>
      <c r="G13" s="1485" t="e">
        <f>SUM(M13:M15)</f>
        <v>#REF!</v>
      </c>
      <c r="H13" s="1476">
        <f>SUM(I13:I15)</f>
        <v>71090000</v>
      </c>
      <c r="I13" s="1187">
        <v>23220000</v>
      </c>
      <c r="J13" s="1152"/>
      <c r="K13" s="667" t="e">
        <f t="shared" si="1"/>
        <v>#REF!</v>
      </c>
      <c r="L13" s="653">
        <f>Renewables_OLD!F90</f>
        <v>14167.370548039362</v>
      </c>
      <c r="M13" s="531" t="e">
        <f t="shared" si="0"/>
        <v>#REF!</v>
      </c>
      <c r="N13" s="515"/>
      <c r="O13" s="515"/>
      <c r="P13" s="515"/>
      <c r="Q13" s="515"/>
      <c r="R13" s="515"/>
      <c r="S13" s="515"/>
      <c r="T13" s="515"/>
      <c r="U13" s="515"/>
      <c r="V13" s="474"/>
      <c r="W13" s="474"/>
      <c r="X13" s="474"/>
    </row>
    <row r="14" spans="1:25" ht="36.75" customHeight="1" x14ac:dyDescent="0.65">
      <c r="A14" s="1514"/>
      <c r="B14" s="1524"/>
      <c r="C14" s="1509"/>
      <c r="D14" s="1506"/>
      <c r="E14" s="541" t="s">
        <v>1041</v>
      </c>
      <c r="F14" s="596" t="s">
        <v>1042</v>
      </c>
      <c r="G14" s="1486"/>
      <c r="H14" s="1486"/>
      <c r="I14" s="1187">
        <v>35000000</v>
      </c>
      <c r="J14" s="1152"/>
      <c r="K14" s="672" t="e">
        <f t="shared" si="1"/>
        <v>#REF!</v>
      </c>
      <c r="L14" s="653">
        <f>Renewables_OLD!H71</f>
        <v>38558.513287679998</v>
      </c>
      <c r="M14" s="531" t="e">
        <f t="shared" si="0"/>
        <v>#REF!</v>
      </c>
      <c r="N14" s="515"/>
      <c r="O14" s="515"/>
      <c r="P14" s="515"/>
      <c r="Q14" s="515"/>
      <c r="R14" s="515"/>
      <c r="S14" s="515"/>
      <c r="T14" s="515"/>
      <c r="U14" s="515"/>
      <c r="V14" s="474"/>
      <c r="W14" s="474"/>
      <c r="X14" s="474"/>
    </row>
    <row r="15" spans="1:25" ht="36.75" customHeight="1" thickBot="1" x14ac:dyDescent="0.8">
      <c r="A15" s="1514"/>
      <c r="B15" s="1524"/>
      <c r="C15" s="1510"/>
      <c r="D15" s="1507"/>
      <c r="E15" s="598" t="s">
        <v>1043</v>
      </c>
      <c r="F15" s="605" t="s">
        <v>1044</v>
      </c>
      <c r="G15" s="1487"/>
      <c r="H15" s="1487"/>
      <c r="I15" s="1187">
        <v>12870000</v>
      </c>
      <c r="J15" s="1152"/>
      <c r="K15" s="671" t="e">
        <f t="shared" si="1"/>
        <v>#REF!</v>
      </c>
      <c r="L15" s="654">
        <f>Renewables_OLD!F110</f>
        <v>8747.9627021424021</v>
      </c>
      <c r="M15" s="531" t="e">
        <f t="shared" si="0"/>
        <v>#REF!</v>
      </c>
      <c r="N15" s="515"/>
      <c r="O15" s="515"/>
      <c r="P15" s="515"/>
      <c r="Q15" s="515"/>
      <c r="R15" s="515"/>
      <c r="S15" s="515"/>
      <c r="T15" s="515"/>
      <c r="U15" s="515"/>
      <c r="V15" s="474"/>
      <c r="W15" s="474"/>
      <c r="X15" s="474"/>
    </row>
    <row r="16" spans="1:25" ht="36.75" customHeight="1" x14ac:dyDescent="0.65">
      <c r="A16" s="1514"/>
      <c r="B16" s="1524"/>
      <c r="C16" s="1508" t="e">
        <f>#REF!/#REF!</f>
        <v>#REF!</v>
      </c>
      <c r="D16" s="1505" t="s">
        <v>954</v>
      </c>
      <c r="E16" s="606" t="s">
        <v>1064</v>
      </c>
      <c r="F16" s="607" t="s">
        <v>1066</v>
      </c>
      <c r="G16" s="1516" t="e">
        <f>SUM(M16:M17)</f>
        <v>#REF!</v>
      </c>
      <c r="H16" s="1528">
        <f>SUM(I16:I17)</f>
        <v>235740000</v>
      </c>
      <c r="I16" s="1187">
        <v>104490000</v>
      </c>
      <c r="J16" s="1152"/>
      <c r="K16" s="667" t="e">
        <f t="shared" si="1"/>
        <v>#REF!</v>
      </c>
      <c r="L16" s="655">
        <f>Renewables_OLD!F96</f>
        <v>63750.849993888769</v>
      </c>
      <c r="M16" s="531" t="e">
        <f>L16/$M$2</f>
        <v>#REF!</v>
      </c>
      <c r="N16" s="515"/>
      <c r="O16" s="515"/>
      <c r="P16" s="515"/>
      <c r="Q16" s="515"/>
      <c r="R16" s="515"/>
      <c r="S16" s="515"/>
      <c r="T16" s="515"/>
      <c r="U16" s="515"/>
      <c r="V16" s="474"/>
      <c r="W16" s="474"/>
      <c r="X16" s="474"/>
    </row>
    <row r="17" spans="1:29" ht="36.75" customHeight="1" thickBot="1" x14ac:dyDescent="0.8">
      <c r="A17" s="1514"/>
      <c r="B17" s="1523"/>
      <c r="C17" s="1510"/>
      <c r="D17" s="1507"/>
      <c r="E17" s="602" t="s">
        <v>1065</v>
      </c>
      <c r="F17" s="608" t="s">
        <v>1067</v>
      </c>
      <c r="G17" s="1518"/>
      <c r="H17" s="1518"/>
      <c r="I17" s="1187">
        <v>131250000</v>
      </c>
      <c r="J17" s="1152"/>
      <c r="K17" s="671" t="e">
        <f t="shared" si="1"/>
        <v>#REF!</v>
      </c>
      <c r="L17" s="654">
        <f>Renewables_OLD!H77</f>
        <v>144594.42482879999</v>
      </c>
      <c r="M17" s="531" t="e">
        <f>L17/$M$2</f>
        <v>#REF!</v>
      </c>
      <c r="N17" s="515"/>
      <c r="O17" s="515"/>
      <c r="P17" s="515"/>
      <c r="Q17" s="515"/>
      <c r="R17" s="515"/>
      <c r="S17" s="515"/>
      <c r="T17" s="515"/>
      <c r="U17" s="515"/>
      <c r="V17" s="474"/>
      <c r="W17" s="474"/>
      <c r="X17" s="474"/>
    </row>
    <row r="18" spans="1:29" ht="36.75" customHeight="1" thickBot="1" x14ac:dyDescent="0.8">
      <c r="A18" s="1514"/>
      <c r="B18" s="1522" t="s">
        <v>533</v>
      </c>
      <c r="C18" s="1501" t="e">
        <f>#REF!/#REF!</f>
        <v>#REF!</v>
      </c>
      <c r="D18" s="609" t="s">
        <v>1027</v>
      </c>
      <c r="E18" s="603" t="s">
        <v>1047</v>
      </c>
      <c r="F18" s="604" t="s">
        <v>1053</v>
      </c>
      <c r="G18" s="1193" t="e">
        <f>M18</f>
        <v>#REF!</v>
      </c>
      <c r="H18" s="1476">
        <f>SUM(I18:I19)</f>
        <v>706560000</v>
      </c>
      <c r="I18" s="1187">
        <f>'Summary PCAP Cost Data'!L4</f>
        <v>117760000</v>
      </c>
      <c r="J18" s="1152"/>
      <c r="K18" s="629"/>
      <c r="L18" s="542">
        <f>Infrastructure!I31</f>
        <v>29975.435524451754</v>
      </c>
      <c r="M18" s="531" t="e">
        <f>L18/$M$2</f>
        <v>#REF!</v>
      </c>
      <c r="N18" s="515"/>
      <c r="O18" s="515"/>
      <c r="P18" s="515"/>
      <c r="Q18" s="510">
        <v>10</v>
      </c>
      <c r="R18" s="515"/>
      <c r="S18" s="515"/>
      <c r="T18" s="515"/>
      <c r="U18" s="515"/>
      <c r="V18" s="474"/>
      <c r="W18" s="474"/>
      <c r="X18" s="474"/>
      <c r="Y18" s="1455" t="s">
        <v>926</v>
      </c>
      <c r="Z18" s="1456"/>
      <c r="AA18" s="1457"/>
    </row>
    <row r="19" spans="1:29" ht="36.75" customHeight="1" thickBot="1" x14ac:dyDescent="0.85">
      <c r="A19" s="1515"/>
      <c r="B19" s="1523"/>
      <c r="C19" s="1502"/>
      <c r="D19" s="1129" t="s">
        <v>1028</v>
      </c>
      <c r="E19" s="1130" t="s">
        <v>1046</v>
      </c>
      <c r="F19" s="1131" t="s">
        <v>1054</v>
      </c>
      <c r="G19" s="1194" t="e">
        <f>M19</f>
        <v>#REF!</v>
      </c>
      <c r="H19" s="1477"/>
      <c r="I19" s="1187">
        <f>'Summary PCAP Cost Data'!L3</f>
        <v>588800000</v>
      </c>
      <c r="J19" s="1152"/>
      <c r="K19" s="630"/>
      <c r="L19" s="656">
        <f>Infrastructure!I17</f>
        <v>150201.84451485978</v>
      </c>
      <c r="M19" s="531" t="e">
        <f t="shared" si="0"/>
        <v>#REF!</v>
      </c>
      <c r="N19" s="517"/>
      <c r="O19" s="517"/>
      <c r="P19" s="517"/>
      <c r="Q19" s="517"/>
      <c r="R19" s="517"/>
      <c r="S19" s="517"/>
      <c r="T19" s="517"/>
      <c r="U19" s="517"/>
      <c r="V19" s="9"/>
      <c r="W19" s="9"/>
      <c r="X19" s="9"/>
      <c r="Y19" s="485" t="s">
        <v>843</v>
      </c>
      <c r="Z19" s="8">
        <v>26175.12245751634</v>
      </c>
      <c r="AA19" s="482">
        <f t="shared" ref="AA19:AA26" si="2">Z19/$Z$27</f>
        <v>6.4946485977372029E-2</v>
      </c>
    </row>
    <row r="20" spans="1:29" ht="49.5" customHeight="1" thickBot="1" x14ac:dyDescent="0.85">
      <c r="A20" s="1458" t="s">
        <v>435</v>
      </c>
      <c r="B20" s="1461" t="s">
        <v>797</v>
      </c>
      <c r="C20" s="1133" t="e">
        <f>SUM(#REF!)/#REF!</f>
        <v>#REF!</v>
      </c>
      <c r="D20" s="709" t="s">
        <v>436</v>
      </c>
      <c r="E20" s="1134" t="s">
        <v>1029</v>
      </c>
      <c r="F20" s="1135" t="s">
        <v>1300</v>
      </c>
      <c r="G20" s="1241" t="e">
        <f>M20</f>
        <v>#REF!</v>
      </c>
      <c r="H20" s="1242" t="e">
        <f>I20</f>
        <v>#REF!</v>
      </c>
      <c r="I20" s="1162" t="e">
        <f>'Summary PCAP Cost Data'!L38+'Summary PCAP Cost Data'!L31</f>
        <v>#REF!</v>
      </c>
      <c r="J20" s="1152"/>
      <c r="K20" s="599"/>
      <c r="L20" s="538" t="e">
        <f>Buildings!I45</f>
        <v>#REF!</v>
      </c>
      <c r="M20" s="531" t="e">
        <f t="shared" si="0"/>
        <v>#REF!</v>
      </c>
      <c r="N20" s="513" t="e">
        <f>N$2*$V$20</f>
        <v>#REF!</v>
      </c>
      <c r="O20" s="513" t="e">
        <f>O$2*$V$20</f>
        <v>#REF!</v>
      </c>
      <c r="P20" s="513" t="e">
        <f>O20+N20</f>
        <v>#REF!</v>
      </c>
      <c r="Q20" s="513" t="e">
        <f>Q$2*V20</f>
        <v>#REF!</v>
      </c>
      <c r="R20" s="513" t="e">
        <f>P20+Q20</f>
        <v>#REF!</v>
      </c>
      <c r="S20" s="518"/>
      <c r="T20" s="518"/>
      <c r="U20" s="518"/>
      <c r="V20" s="9">
        <v>0.6</v>
      </c>
      <c r="W20" s="9">
        <v>0.85</v>
      </c>
      <c r="X20" s="9" t="s">
        <v>1023</v>
      </c>
      <c r="Y20" s="486" t="s">
        <v>842</v>
      </c>
      <c r="Z20">
        <v>2527</v>
      </c>
      <c r="AA20" s="482">
        <f t="shared" si="2"/>
        <v>6.270066943571879E-3</v>
      </c>
    </row>
    <row r="21" spans="1:29" ht="36.75" customHeight="1" x14ac:dyDescent="0.7">
      <c r="A21" s="1459"/>
      <c r="B21" s="1462"/>
      <c r="C21" s="1464">
        <f>0.065*22.1800574607601%</f>
        <v>1.4417037349494064E-2</v>
      </c>
      <c r="D21" s="1466" t="s">
        <v>963</v>
      </c>
      <c r="E21" s="539" t="s">
        <v>912</v>
      </c>
      <c r="F21" s="540" t="s">
        <v>1301</v>
      </c>
      <c r="G21" s="1490" t="e">
        <f>SUM(M21:M22)</f>
        <v>#REF!</v>
      </c>
      <c r="H21" s="1478" t="e">
        <f>SUM(I21:I22)</f>
        <v>#REF!</v>
      </c>
      <c r="I21" s="1162" t="e">
        <f>'Summary PCAP Cost Data'!L34</f>
        <v>#REF!</v>
      </c>
      <c r="J21" s="1152"/>
      <c r="K21" s="616" t="e">
        <f>M21</f>
        <v>#REF!</v>
      </c>
      <c r="L21" s="513" t="e">
        <f>Buildings!I49</f>
        <v>#REF!</v>
      </c>
      <c r="M21" s="531" t="e">
        <f t="shared" si="0"/>
        <v>#REF!</v>
      </c>
      <c r="N21" s="512" t="e">
        <f>$N$2*0.6</f>
        <v>#REF!</v>
      </c>
      <c r="O21" s="512" t="e">
        <f>$O$2*0.6</f>
        <v>#REF!</v>
      </c>
      <c r="P21" s="1224" t="e">
        <f>N21+O21</f>
        <v>#REF!</v>
      </c>
      <c r="Q21" s="518"/>
      <c r="R21" s="518"/>
      <c r="S21" s="518"/>
      <c r="T21" s="518"/>
      <c r="U21" s="518"/>
      <c r="W21" s="473">
        <v>0.15</v>
      </c>
      <c r="X21" s="473" t="s">
        <v>1024</v>
      </c>
      <c r="Y21" s="486" t="s">
        <v>838</v>
      </c>
      <c r="Z21" s="8">
        <v>15704</v>
      </c>
      <c r="AA21" s="482">
        <f t="shared" si="2"/>
        <v>3.8965228049803236E-2</v>
      </c>
    </row>
    <row r="22" spans="1:29" ht="36.75" customHeight="1" thickBot="1" x14ac:dyDescent="0.85">
      <c r="A22" s="1459"/>
      <c r="B22" s="1462"/>
      <c r="C22" s="1489"/>
      <c r="D22" s="1488"/>
      <c r="E22" s="1136" t="s">
        <v>962</v>
      </c>
      <c r="F22" s="1137" t="s">
        <v>1302</v>
      </c>
      <c r="G22" s="1491"/>
      <c r="H22" s="1478"/>
      <c r="I22" s="1162" t="e">
        <f>'Summary PCAP Cost Data'!L30</f>
        <v>#REF!</v>
      </c>
      <c r="J22" s="1152"/>
      <c r="K22" s="617" t="e">
        <f>M22</f>
        <v>#REF!</v>
      </c>
      <c r="L22" s="595" t="e">
        <f>Buildings!I10</f>
        <v>#REF!</v>
      </c>
      <c r="M22" s="531" t="e">
        <f t="shared" si="0"/>
        <v>#REF!</v>
      </c>
      <c r="N22" s="512" t="e">
        <f>$N$2*0.6</f>
        <v>#REF!</v>
      </c>
      <c r="O22" s="512" t="e">
        <f>$O$2*0.6</f>
        <v>#REF!</v>
      </c>
      <c r="P22" s="1224" t="e">
        <f>N22+O22</f>
        <v>#REF!</v>
      </c>
      <c r="Q22" s="518"/>
      <c r="R22" s="518"/>
      <c r="S22" s="518"/>
      <c r="T22" s="518"/>
      <c r="U22" s="518"/>
      <c r="V22" s="9"/>
      <c r="W22" s="473">
        <v>0.33</v>
      </c>
      <c r="X22" s="9" t="s">
        <v>1325</v>
      </c>
      <c r="Y22" s="486"/>
      <c r="Z22" s="8"/>
      <c r="AA22" s="482"/>
    </row>
    <row r="23" spans="1:29" ht="31.5" customHeight="1" x14ac:dyDescent="0.7">
      <c r="A23" s="1459"/>
      <c r="B23" s="1462"/>
      <c r="C23" s="1464">
        <f>0.12*44.5352368337522%</f>
        <v>5.3442284200502642E-2</v>
      </c>
      <c r="D23" s="1466" t="s">
        <v>798</v>
      </c>
      <c r="E23" s="539" t="s">
        <v>984</v>
      </c>
      <c r="F23" s="540" t="s">
        <v>1299</v>
      </c>
      <c r="G23" s="1468" t="e">
        <f>SUM(M23:M24)</f>
        <v>#REF!</v>
      </c>
      <c r="H23" s="1479" t="e">
        <f>SUM(I23:I24)</f>
        <v>#REF!</v>
      </c>
      <c r="I23" s="1162" t="e">
        <f>'Summary PCAP Cost Data'!L29</f>
        <v>#REF!</v>
      </c>
      <c r="J23" s="1152"/>
      <c r="K23" s="616" t="e">
        <f>M23</f>
        <v>#REF!</v>
      </c>
      <c r="L23" s="513" t="e">
        <f>Buildings!J6</f>
        <v>#REF!</v>
      </c>
      <c r="M23" s="531" t="e">
        <f t="shared" si="0"/>
        <v>#REF!</v>
      </c>
      <c r="N23" s="512" t="e">
        <f>$N$2*V23</f>
        <v>#REF!</v>
      </c>
      <c r="O23" s="512" t="e">
        <f>$O$2*V23</f>
        <v>#REF!</v>
      </c>
      <c r="P23" s="1224" t="e">
        <f>N23+O23</f>
        <v>#REF!</v>
      </c>
      <c r="Q23" s="518"/>
      <c r="R23" s="518"/>
      <c r="S23" s="518"/>
      <c r="T23" s="518"/>
      <c r="U23" s="518"/>
      <c r="V23" s="9">
        <v>0.6</v>
      </c>
      <c r="W23" s="9">
        <v>0.12</v>
      </c>
      <c r="X23" s="9" t="s">
        <v>1022</v>
      </c>
      <c r="Y23" s="485" t="s">
        <v>839</v>
      </c>
      <c r="Z23" s="8">
        <v>26802.28109</v>
      </c>
      <c r="AA23" s="482">
        <f t="shared" si="2"/>
        <v>6.650261047674344E-2</v>
      </c>
    </row>
    <row r="24" spans="1:29" ht="31.5" customHeight="1" thickBot="1" x14ac:dyDescent="0.85">
      <c r="A24" s="1459"/>
      <c r="B24" s="1462"/>
      <c r="C24" s="1465"/>
      <c r="D24" s="1467"/>
      <c r="E24" s="579" t="s">
        <v>1030</v>
      </c>
      <c r="F24" s="582" t="s">
        <v>1032</v>
      </c>
      <c r="G24" s="1469"/>
      <c r="H24" s="1480"/>
      <c r="I24" s="1162">
        <f>'Summary PCAP Cost Data'!L35</f>
        <v>6563700</v>
      </c>
      <c r="J24" s="1152"/>
      <c r="K24" s="617" t="e">
        <f>M24</f>
        <v>#REF!</v>
      </c>
      <c r="L24" s="513" t="e">
        <f>Buildings!I25</f>
        <v>#REF!</v>
      </c>
      <c r="M24" s="531" t="e">
        <f>L24/$M$2</f>
        <v>#REF!</v>
      </c>
      <c r="N24" s="518"/>
      <c r="O24" s="518"/>
      <c r="P24" s="518"/>
      <c r="Q24" s="511" t="e">
        <f>$Q$2*V24</f>
        <v>#REF!</v>
      </c>
      <c r="R24" s="518"/>
      <c r="S24" s="518"/>
      <c r="T24" s="518"/>
      <c r="U24" s="518"/>
      <c r="V24" s="9">
        <v>0.6</v>
      </c>
      <c r="W24" s="9">
        <v>0.12</v>
      </c>
      <c r="X24" s="9" t="s">
        <v>1022</v>
      </c>
      <c r="Y24" s="485"/>
      <c r="Z24" s="8"/>
      <c r="AA24" s="482"/>
    </row>
    <row r="25" spans="1:29" ht="31.5" customHeight="1" thickBot="1" x14ac:dyDescent="0.85">
      <c r="A25" s="1459"/>
      <c r="B25" s="1462"/>
      <c r="C25" s="1132">
        <f>W25*44.5352368337522%</f>
        <v>6.6802855250628304E-2</v>
      </c>
      <c r="D25" s="613" t="s">
        <v>814</v>
      </c>
      <c r="E25" s="614" t="s">
        <v>915</v>
      </c>
      <c r="F25" s="615" t="s">
        <v>990</v>
      </c>
      <c r="G25" s="1195" t="e">
        <f>M25</f>
        <v>#REF!</v>
      </c>
      <c r="H25" s="1281" t="e">
        <f>I25</f>
        <v>#REF!</v>
      </c>
      <c r="I25" s="1162" t="e">
        <f>'Summary PCAP Cost Data'!L32+'Summary PCAP Cost Data'!L36</f>
        <v>#REF!</v>
      </c>
      <c r="J25" s="1152"/>
      <c r="K25" s="9"/>
      <c r="L25" s="538" t="e">
        <f>Buildings!I29+Buildings!I14</f>
        <v>#REF!</v>
      </c>
      <c r="M25" s="531" t="e">
        <f>L25/$M$2</f>
        <v>#REF!</v>
      </c>
      <c r="N25" s="513" t="e">
        <f>N2</f>
        <v>#REF!</v>
      </c>
      <c r="O25" s="513" t="e">
        <f>O2</f>
        <v>#REF!</v>
      </c>
      <c r="P25" s="513" t="e">
        <f>P2</f>
        <v>#REF!</v>
      </c>
      <c r="Q25" s="513" t="e">
        <f>Q2</f>
        <v>#REF!</v>
      </c>
      <c r="R25" s="513" t="e">
        <f>$R$2</f>
        <v>#REF!</v>
      </c>
      <c r="S25" s="518"/>
      <c r="T25" s="518"/>
      <c r="U25" s="518"/>
      <c r="V25" s="9"/>
      <c r="W25" s="9">
        <v>0.15</v>
      </c>
      <c r="X25" s="1279" t="s">
        <v>1329</v>
      </c>
      <c r="Y25" s="485" t="s">
        <v>840</v>
      </c>
      <c r="Z25" s="8">
        <v>7179.9680000000008</v>
      </c>
      <c r="AA25" s="482">
        <f t="shared" si="2"/>
        <v>1.7815148402336327E-2</v>
      </c>
      <c r="AB25">
        <v>0.17</v>
      </c>
      <c r="AC25" s="18" t="s">
        <v>1330</v>
      </c>
    </row>
    <row r="26" spans="1:29" ht="31.5" customHeight="1" thickBot="1" x14ac:dyDescent="0.85">
      <c r="A26" s="1459"/>
      <c r="B26" s="1463"/>
      <c r="C26" s="1132">
        <f>0.08*44.5403916751177%</f>
        <v>3.563231334009416E-2</v>
      </c>
      <c r="D26" s="613" t="s">
        <v>799</v>
      </c>
      <c r="E26" s="614" t="s">
        <v>1031</v>
      </c>
      <c r="F26" s="615" t="s">
        <v>1303</v>
      </c>
      <c r="G26" s="1195" t="e">
        <f>M26</f>
        <v>#REF!</v>
      </c>
      <c r="H26" s="1281" t="e">
        <f>I26</f>
        <v>#REF!</v>
      </c>
      <c r="I26" s="1162" t="e">
        <f>'Summary PCAP Cost Data'!L33+'Summary PCAP Cost Data'!L37</f>
        <v>#REF!</v>
      </c>
      <c r="J26" s="1152"/>
      <c r="K26" s="9"/>
      <c r="L26" s="538" t="e">
        <f>Buildings!I33</f>
        <v>#REF!</v>
      </c>
      <c r="M26" s="531" t="e">
        <f t="shared" si="0"/>
        <v>#REF!</v>
      </c>
      <c r="N26" s="513" t="e">
        <f>N$2*$V$20</f>
        <v>#REF!</v>
      </c>
      <c r="O26" s="513" t="e">
        <f>O$2*$V$20</f>
        <v>#REF!</v>
      </c>
      <c r="P26" s="513" t="e">
        <f>O26+N26</f>
        <v>#REF!</v>
      </c>
      <c r="Q26" s="513" t="e">
        <f>Q$2*V26</f>
        <v>#REF!</v>
      </c>
      <c r="R26" s="513" t="e">
        <f>P26+Q26</f>
        <v>#REF!</v>
      </c>
      <c r="S26" s="518"/>
      <c r="T26" s="518"/>
      <c r="U26" s="518"/>
      <c r="V26" s="9">
        <v>0.6</v>
      </c>
      <c r="W26" s="9">
        <v>0.08</v>
      </c>
      <c r="X26" s="9" t="s">
        <v>1326</v>
      </c>
      <c r="Y26" s="487" t="s">
        <v>841</v>
      </c>
      <c r="Z26" s="484">
        <v>29840.21775</v>
      </c>
      <c r="AA26" s="471">
        <f t="shared" si="2"/>
        <v>7.404042853314674E-2</v>
      </c>
    </row>
    <row r="27" spans="1:29" ht="31.5" customHeight="1" thickBot="1" x14ac:dyDescent="0.85">
      <c r="A27" s="1460"/>
      <c r="B27" s="623" t="s">
        <v>437</v>
      </c>
      <c r="C27" s="622">
        <f>44.5403916751177%*0.1</f>
        <v>4.4540391675117696E-2</v>
      </c>
      <c r="D27" s="610" t="s">
        <v>800</v>
      </c>
      <c r="E27" s="611" t="s">
        <v>913</v>
      </c>
      <c r="F27" s="612" t="s">
        <v>1087</v>
      </c>
      <c r="G27" s="1196" t="e">
        <f>M27</f>
        <v>#REF!</v>
      </c>
      <c r="H27" s="1481"/>
      <c r="I27" s="1525"/>
      <c r="J27" s="1152"/>
      <c r="K27" s="476"/>
      <c r="L27" s="542" t="e">
        <f>Buildings!I18</f>
        <v>#REF!</v>
      </c>
      <c r="M27" s="531" t="e">
        <f>L27/$M$2</f>
        <v>#REF!</v>
      </c>
      <c r="N27" s="519" t="e">
        <f t="shared" ref="N27" si="3">$V$27*N2</f>
        <v>#REF!</v>
      </c>
      <c r="O27" s="519" t="e">
        <f>$V$27*O2</f>
        <v>#REF!</v>
      </c>
      <c r="P27" s="519" t="e">
        <f>$V$27*P2</f>
        <v>#REF!</v>
      </c>
      <c r="Q27" s="519" t="e">
        <f>V27*Q2</f>
        <v>#REF!</v>
      </c>
      <c r="R27" s="590"/>
      <c r="S27" s="518"/>
      <c r="T27" s="518"/>
      <c r="U27" s="518"/>
      <c r="V27" s="591">
        <v>0.15</v>
      </c>
      <c r="W27" s="591">
        <v>0.1</v>
      </c>
      <c r="X27" s="476"/>
      <c r="Y27" s="488" t="s">
        <v>836</v>
      </c>
      <c r="Z27" s="479">
        <v>403026</v>
      </c>
      <c r="AA27" s="483"/>
    </row>
    <row r="28" spans="1:29" ht="18" customHeight="1" x14ac:dyDescent="0.7">
      <c r="A28" s="1445" t="s">
        <v>438</v>
      </c>
      <c r="B28" s="1470" t="s">
        <v>801</v>
      </c>
      <c r="C28" s="683" t="e">
        <f>#REF!/#REF!</f>
        <v>#REF!</v>
      </c>
      <c r="D28" s="618" t="s">
        <v>16</v>
      </c>
      <c r="E28" s="619" t="s">
        <v>459</v>
      </c>
      <c r="F28" s="620" t="s">
        <v>975</v>
      </c>
      <c r="G28" s="1197">
        <v>1.4395403274408575E-2</v>
      </c>
      <c r="H28" s="1481"/>
      <c r="I28" s="1526"/>
      <c r="J28" s="1152"/>
      <c r="K28" s="476"/>
      <c r="L28" s="577" t="e">
        <f>Transportation!E22</f>
        <v>#REF!</v>
      </c>
      <c r="M28" s="578" t="e">
        <f>L28/$M$2</f>
        <v>#REF!</v>
      </c>
      <c r="N28" s="520"/>
      <c r="O28" s="520"/>
      <c r="P28" s="520"/>
      <c r="Q28" s="520"/>
      <c r="R28" s="520"/>
      <c r="S28" s="520"/>
      <c r="T28" s="520"/>
      <c r="U28" s="520"/>
      <c r="V28" s="476"/>
      <c r="W28" s="476"/>
      <c r="X28" s="476"/>
      <c r="AA28" s="1"/>
    </row>
    <row r="29" spans="1:29" ht="18" customHeight="1" x14ac:dyDescent="0.7">
      <c r="A29" s="1446"/>
      <c r="B29" s="1471"/>
      <c r="C29" s="684" t="e">
        <f>#REF!/#REF!</f>
        <v>#REF!</v>
      </c>
      <c r="D29" s="306" t="s">
        <v>802</v>
      </c>
      <c r="E29" s="478" t="s">
        <v>458</v>
      </c>
      <c r="F29" s="504" t="s">
        <v>976</v>
      </c>
      <c r="G29" s="1198" t="e">
        <f t="shared" ref="G29:G34" si="4">M29</f>
        <v>#REF!</v>
      </c>
      <c r="H29" s="1481"/>
      <c r="I29" s="1526"/>
      <c r="J29" s="1152"/>
      <c r="K29" s="475"/>
      <c r="L29" s="580" t="e">
        <f>Transportation!E26</f>
        <v>#REF!</v>
      </c>
      <c r="M29" s="531" t="e">
        <f t="shared" si="0"/>
        <v>#REF!</v>
      </c>
      <c r="N29" s="520"/>
      <c r="O29" s="520"/>
      <c r="P29" s="520"/>
      <c r="Q29" s="520"/>
      <c r="R29" s="520"/>
      <c r="S29" s="520"/>
      <c r="T29" s="520"/>
      <c r="U29" s="520"/>
      <c r="V29" s="475"/>
      <c r="W29" s="475"/>
      <c r="X29" s="475"/>
      <c r="AA29" s="1"/>
    </row>
    <row r="30" spans="1:29" ht="18" customHeight="1" thickBot="1" x14ac:dyDescent="0.85">
      <c r="A30" s="1446"/>
      <c r="B30" s="1472"/>
      <c r="C30" s="1138" t="e">
        <f>#REF!/#REF!</f>
        <v>#REF!</v>
      </c>
      <c r="D30" s="1139" t="s">
        <v>439</v>
      </c>
      <c r="E30" s="641" t="s">
        <v>985</v>
      </c>
      <c r="F30" s="1140" t="s">
        <v>977</v>
      </c>
      <c r="G30" s="1199" t="e">
        <f t="shared" si="4"/>
        <v>#REF!</v>
      </c>
      <c r="H30" s="1481"/>
      <c r="I30" s="1527"/>
      <c r="J30" s="1152"/>
      <c r="K30" s="476"/>
      <c r="L30" s="577" t="e">
        <f>Transportation!E17</f>
        <v>#REF!</v>
      </c>
      <c r="M30" s="578" t="e">
        <f t="shared" si="0"/>
        <v>#REF!</v>
      </c>
      <c r="N30" s="520"/>
      <c r="O30" s="520"/>
      <c r="P30" s="520"/>
      <c r="Q30" s="520"/>
      <c r="R30" s="520"/>
      <c r="S30" s="520"/>
      <c r="T30" s="520"/>
      <c r="U30" s="520"/>
      <c r="V30" s="476"/>
      <c r="W30" s="476"/>
      <c r="X30" s="476"/>
      <c r="AA30" s="1"/>
    </row>
    <row r="31" spans="1:29" ht="47.25" customHeight="1" thickBot="1" x14ac:dyDescent="0.8">
      <c r="A31" s="1447"/>
      <c r="B31" s="682" t="s">
        <v>1103</v>
      </c>
      <c r="C31" s="681" t="e">
        <f>#REF!/#REF!</f>
        <v>#REF!</v>
      </c>
      <c r="D31" s="624" t="s">
        <v>889</v>
      </c>
      <c r="E31" s="625" t="s">
        <v>997</v>
      </c>
      <c r="F31" s="626" t="s">
        <v>996</v>
      </c>
      <c r="G31" s="1200" t="e">
        <f t="shared" si="4"/>
        <v>#REF!</v>
      </c>
      <c r="H31" s="1282">
        <f>I31</f>
        <v>5786112</v>
      </c>
      <c r="I31" s="1163">
        <f>'Summary PCAP Cost Data'!L41</f>
        <v>5786112</v>
      </c>
      <c r="J31" s="1153"/>
      <c r="K31" s="476"/>
      <c r="L31" s="663" t="e">
        <f>Transportation!K12</f>
        <v>#REF!</v>
      </c>
      <c r="M31" s="578" t="e">
        <f t="shared" si="0"/>
        <v>#REF!</v>
      </c>
      <c r="N31" s="520"/>
      <c r="O31" s="520"/>
      <c r="P31" s="520"/>
      <c r="Q31" s="520"/>
      <c r="R31" s="520"/>
      <c r="S31" s="585" t="e">
        <f>($S$2/$V$31)*0.8</f>
        <v>#REF!</v>
      </c>
      <c r="T31" s="520"/>
      <c r="U31" s="520"/>
      <c r="V31" s="476">
        <v>490</v>
      </c>
      <c r="W31" s="476"/>
      <c r="X31" s="9" t="s">
        <v>995</v>
      </c>
    </row>
    <row r="32" spans="1:29" ht="69" hidden="1" customHeight="1" x14ac:dyDescent="0.65">
      <c r="A32" s="1447"/>
      <c r="B32" s="1473" t="s">
        <v>1104</v>
      </c>
      <c r="C32" s="1503" t="e">
        <f>#REF!/#REF!</f>
        <v>#REF!</v>
      </c>
      <c r="D32" s="632" t="s">
        <v>887</v>
      </c>
      <c r="E32" s="619" t="s">
        <v>1049</v>
      </c>
      <c r="F32" s="627" t="s">
        <v>1055</v>
      </c>
      <c r="G32" s="1201" t="e">
        <f t="shared" si="4"/>
        <v>#REF!</v>
      </c>
      <c r="H32" s="1283"/>
      <c r="I32" s="1163"/>
      <c r="J32" s="1153"/>
      <c r="K32" s="474"/>
      <c r="L32" s="542" t="e">
        <f>Transportation!C47</f>
        <v>#REF!</v>
      </c>
      <c r="M32" s="578" t="e">
        <f>L32/$M$2</f>
        <v>#REF!</v>
      </c>
      <c r="N32" s="520"/>
      <c r="O32" s="520"/>
      <c r="P32" s="520"/>
      <c r="Q32" s="520"/>
      <c r="R32" s="520"/>
      <c r="S32" s="520"/>
      <c r="T32" s="585" t="e">
        <f>($T$2/$V$32)</f>
        <v>#REF!</v>
      </c>
      <c r="U32" s="520"/>
      <c r="V32" s="474">
        <v>2000</v>
      </c>
      <c r="W32" s="474"/>
      <c r="X32" s="474" t="s">
        <v>994</v>
      </c>
    </row>
    <row r="33" spans="1:24" ht="39" customHeight="1" thickBot="1" x14ac:dyDescent="0.8">
      <c r="A33" s="1447"/>
      <c r="B33" s="1474"/>
      <c r="C33" s="1504"/>
      <c r="D33" s="664" t="s">
        <v>1093</v>
      </c>
      <c r="E33" s="666" t="s">
        <v>1094</v>
      </c>
      <c r="F33" s="665" t="s">
        <v>1232</v>
      </c>
      <c r="G33" s="1202" t="e">
        <f t="shared" si="4"/>
        <v>#REF!</v>
      </c>
      <c r="H33" s="1284">
        <f>I33</f>
        <v>26561353</v>
      </c>
      <c r="I33" s="1163">
        <f>'Summary PCAP Cost Data'!L40+'Summary PCAP Cost Data'!L42</f>
        <v>26561353</v>
      </c>
      <c r="J33" s="1153"/>
      <c r="K33" s="474"/>
      <c r="L33" s="542" t="e">
        <f>Transportation!C47</f>
        <v>#REF!</v>
      </c>
      <c r="M33" s="578" t="e">
        <f>L33/$M$2</f>
        <v>#REF!</v>
      </c>
      <c r="N33" s="520"/>
      <c r="O33" s="520"/>
      <c r="P33" s="520"/>
      <c r="Q33" s="520"/>
      <c r="R33" s="520"/>
      <c r="S33" s="520"/>
      <c r="T33" s="585"/>
      <c r="U33" s="520"/>
      <c r="V33" s="474"/>
      <c r="W33" s="474"/>
      <c r="X33" s="474"/>
    </row>
    <row r="34" spans="1:24" ht="29.25" hidden="1" thickBot="1" x14ac:dyDescent="0.8">
      <c r="A34" s="1448"/>
      <c r="B34" s="1475"/>
      <c r="C34" s="1504"/>
      <c r="D34" s="640" t="s">
        <v>1060</v>
      </c>
      <c r="E34" s="641" t="s">
        <v>888</v>
      </c>
      <c r="F34" s="642" t="s">
        <v>999</v>
      </c>
      <c r="G34" s="1203" t="e">
        <f t="shared" si="4"/>
        <v>#REF!</v>
      </c>
      <c r="H34" s="1285"/>
      <c r="I34" s="1164"/>
      <c r="J34" s="1154"/>
      <c r="K34" s="474"/>
      <c r="L34" s="542" t="e">
        <f>Transportation!H42</f>
        <v>#REF!</v>
      </c>
      <c r="M34" s="531" t="e">
        <f t="shared" si="0"/>
        <v>#REF!</v>
      </c>
      <c r="N34" s="520"/>
      <c r="O34" s="520"/>
      <c r="P34" s="520"/>
      <c r="Q34" s="520"/>
      <c r="R34" s="520"/>
      <c r="S34" s="520"/>
      <c r="T34" s="585" t="e">
        <f>($T$2/$V$32)*1</f>
        <v>#REF!</v>
      </c>
      <c r="U34" s="520"/>
      <c r="V34" s="474"/>
      <c r="W34" s="474"/>
      <c r="X34" s="474"/>
    </row>
    <row r="35" spans="1:24" ht="15" customHeight="1" x14ac:dyDescent="0.65">
      <c r="A35" s="1452" t="s">
        <v>803</v>
      </c>
      <c r="B35" s="1449" t="s">
        <v>467</v>
      </c>
      <c r="C35" s="1495">
        <v>1</v>
      </c>
      <c r="D35" s="1492" t="s">
        <v>804</v>
      </c>
      <c r="E35" s="621" t="s">
        <v>1062</v>
      </c>
      <c r="F35" s="1190" t="s">
        <v>1062</v>
      </c>
      <c r="G35" s="1498" t="e">
        <f>SUM(M35:M37)</f>
        <v>#REF!</v>
      </c>
      <c r="H35" s="1482">
        <f>SUM(I35:I37)</f>
        <v>33000000</v>
      </c>
      <c r="I35" s="1165">
        <f>'Summary PCAP Cost Data'!L46</f>
        <v>30000000</v>
      </c>
      <c r="J35" s="1155"/>
      <c r="K35" s="474"/>
      <c r="L35" s="661">
        <f>'Land Use'!D6</f>
        <v>1202</v>
      </c>
      <c r="M35" s="639" t="e">
        <f>L35/$M$2</f>
        <v>#REF!</v>
      </c>
      <c r="N35" s="521"/>
      <c r="O35" s="521"/>
      <c r="P35" s="521"/>
      <c r="Q35" s="521"/>
      <c r="R35" s="521"/>
      <c r="S35" s="521"/>
      <c r="T35" s="521"/>
      <c r="U35" s="521"/>
      <c r="V35" s="474"/>
      <c r="W35" s="474"/>
      <c r="X35" s="474"/>
    </row>
    <row r="36" spans="1:24" ht="15" customHeight="1" x14ac:dyDescent="0.65">
      <c r="A36" s="1453"/>
      <c r="B36" s="1450"/>
      <c r="C36" s="1496"/>
      <c r="D36" s="1493"/>
      <c r="E36" s="638" t="s">
        <v>1061</v>
      </c>
      <c r="F36" s="1191" t="s">
        <v>1061</v>
      </c>
      <c r="G36" s="1499"/>
      <c r="H36" s="1483"/>
      <c r="I36" s="1165">
        <v>2500000</v>
      </c>
      <c r="J36" s="1155"/>
      <c r="K36" s="474"/>
      <c r="L36" s="661">
        <f>'Land Use'!G10</f>
        <v>19.000000000000004</v>
      </c>
      <c r="M36" s="639" t="e">
        <f>L36/$M$2</f>
        <v>#REF!</v>
      </c>
      <c r="N36" s="521"/>
      <c r="O36" s="521"/>
      <c r="P36" s="521"/>
      <c r="Q36" s="521"/>
      <c r="R36" s="521"/>
      <c r="S36" s="521"/>
      <c r="T36" s="521"/>
      <c r="U36" s="521"/>
      <c r="V36" s="474"/>
      <c r="W36" s="474"/>
      <c r="X36" s="474"/>
    </row>
    <row r="37" spans="1:24" ht="15" customHeight="1" thickBot="1" x14ac:dyDescent="0.8">
      <c r="A37" s="1453"/>
      <c r="B37" s="1450"/>
      <c r="C37" s="1497"/>
      <c r="D37" s="1494"/>
      <c r="E37" s="1143" t="s">
        <v>1063</v>
      </c>
      <c r="F37" s="1192" t="s">
        <v>1063</v>
      </c>
      <c r="G37" s="1500"/>
      <c r="H37" s="1484"/>
      <c r="I37" s="1165">
        <v>500000</v>
      </c>
      <c r="J37" s="1155"/>
      <c r="K37" s="474"/>
      <c r="L37" s="542">
        <f>'Land Use'!D10</f>
        <v>73.765013760000016</v>
      </c>
      <c r="M37" s="639" t="e">
        <f>L37/$M$2</f>
        <v>#REF!</v>
      </c>
      <c r="N37" s="521"/>
      <c r="O37" s="521"/>
      <c r="P37" s="521"/>
      <c r="Q37" s="521"/>
      <c r="R37" s="521"/>
      <c r="S37" s="521"/>
      <c r="T37" s="521"/>
      <c r="U37" s="521"/>
      <c r="V37" s="474"/>
      <c r="W37" s="474"/>
      <c r="X37" s="474"/>
    </row>
    <row r="38" spans="1:24" ht="15" customHeight="1" thickBot="1" x14ac:dyDescent="0.8">
      <c r="A38" s="1453"/>
      <c r="B38" s="1450"/>
      <c r="C38" s="1146">
        <v>1</v>
      </c>
      <c r="D38" s="1147" t="s">
        <v>805</v>
      </c>
      <c r="E38" s="1148" t="s">
        <v>978</v>
      </c>
      <c r="F38" s="1149" t="s">
        <v>979</v>
      </c>
      <c r="G38" s="1204" t="e">
        <f>M38</f>
        <v>#REF!</v>
      </c>
      <c r="H38" s="1286">
        <f>I38</f>
        <v>400000</v>
      </c>
      <c r="I38" s="1165">
        <f>'Summary PCAP Cost Data'!L48</f>
        <v>400000</v>
      </c>
      <c r="J38" s="1155"/>
      <c r="L38" s="538">
        <f>'Land Use'!G14</f>
        <v>59.011985600000003</v>
      </c>
      <c r="M38" s="639" t="e">
        <f t="shared" si="0"/>
        <v>#REF!</v>
      </c>
      <c r="N38" s="521"/>
      <c r="O38" s="521"/>
      <c r="P38" s="521"/>
      <c r="Q38" s="521"/>
      <c r="R38" s="521"/>
      <c r="S38" s="521"/>
      <c r="T38" s="521"/>
      <c r="U38" s="521"/>
    </row>
    <row r="39" spans="1:24" ht="31.5" customHeight="1" thickBot="1" x14ac:dyDescent="0.9">
      <c r="A39" s="1454"/>
      <c r="B39" s="1451"/>
      <c r="C39" s="1141">
        <v>0.46</v>
      </c>
      <c r="D39" s="1142" t="s">
        <v>893</v>
      </c>
      <c r="E39" s="1144" t="s">
        <v>980</v>
      </c>
      <c r="F39" s="1145" t="s">
        <v>989</v>
      </c>
      <c r="G39" s="1205" t="e">
        <f>M39</f>
        <v>#REF!</v>
      </c>
      <c r="H39" s="1188"/>
      <c r="I39" s="1166"/>
      <c r="J39" s="1156"/>
      <c r="L39" s="538" t="e">
        <f>'Land Use'!C19</f>
        <v>#REF!</v>
      </c>
      <c r="M39" s="639" t="e">
        <f>L39/$M$2</f>
        <v>#REF!</v>
      </c>
      <c r="N39" s="521"/>
      <c r="O39" s="521"/>
      <c r="P39" s="521"/>
      <c r="Q39" s="521"/>
      <c r="R39" s="521"/>
      <c r="S39" s="521"/>
      <c r="T39" s="521"/>
      <c r="U39" s="514" t="e">
        <f>$U$2*0.2</f>
        <v>#REF!</v>
      </c>
    </row>
    <row r="40" spans="1:24" s="325" customFormat="1" x14ac:dyDescent="0.65">
      <c r="A40" s="1174"/>
      <c r="F40" s="1175"/>
      <c r="G40" s="1157"/>
      <c r="H40" s="1157"/>
      <c r="I40" s="1157"/>
      <c r="J40" s="1157"/>
      <c r="K40" s="1157"/>
      <c r="L40" s="1176"/>
      <c r="M40" s="1177"/>
      <c r="N40" s="1178"/>
      <c r="O40" s="1178"/>
      <c r="P40" s="1178"/>
      <c r="Q40" s="1178"/>
      <c r="R40" s="1178"/>
      <c r="S40" s="1178"/>
      <c r="T40" s="1178"/>
      <c r="U40" s="1178"/>
      <c r="V40" s="1157"/>
      <c r="W40" s="1157"/>
      <c r="X40" s="1157"/>
    </row>
    <row r="41" spans="1:24" s="325" customFormat="1" x14ac:dyDescent="0.65">
      <c r="F41" s="1175"/>
      <c r="G41" s="1157"/>
      <c r="H41" s="1157"/>
      <c r="I41" s="1157"/>
      <c r="J41" s="1157"/>
      <c r="K41" s="1157"/>
      <c r="L41" s="1176"/>
      <c r="M41" s="1177"/>
      <c r="N41" s="1178"/>
      <c r="O41" s="1178"/>
      <c r="P41" s="1178"/>
      <c r="Q41" s="1178"/>
      <c r="R41" s="1178"/>
      <c r="S41" s="1178"/>
      <c r="T41" s="1178"/>
      <c r="U41" s="1178"/>
      <c r="V41" s="1157"/>
      <c r="W41" s="1157"/>
      <c r="X41" s="1157"/>
    </row>
    <row r="42" spans="1:24" s="325" customFormat="1" x14ac:dyDescent="0.65">
      <c r="F42" s="1175"/>
      <c r="G42" s="1157"/>
      <c r="H42" s="1157"/>
      <c r="I42" s="1157"/>
      <c r="J42" s="1157"/>
      <c r="K42" s="1157"/>
      <c r="L42" s="1176"/>
      <c r="M42" s="1177"/>
      <c r="N42" s="1178"/>
      <c r="O42" s="1178"/>
      <c r="P42" s="1178"/>
      <c r="Q42" s="1178"/>
      <c r="R42" s="1178"/>
      <c r="S42" s="1178"/>
      <c r="T42" s="1178"/>
      <c r="U42" s="1178"/>
      <c r="V42" s="1157"/>
      <c r="W42" s="1157"/>
      <c r="X42" s="1157"/>
    </row>
    <row r="43" spans="1:24" s="325" customFormat="1" x14ac:dyDescent="0.65">
      <c r="F43" s="1175"/>
      <c r="G43" s="1157"/>
      <c r="H43" s="1157"/>
      <c r="I43" s="1157"/>
      <c r="J43" s="1157"/>
      <c r="K43" s="1157"/>
      <c r="L43" s="1176"/>
      <c r="M43" s="1177"/>
      <c r="N43" s="1178"/>
      <c r="O43" s="1178"/>
      <c r="P43" s="1178"/>
      <c r="Q43" s="1178"/>
      <c r="R43" s="1178"/>
      <c r="S43" s="1178"/>
      <c r="T43" s="1178"/>
      <c r="U43" s="1178"/>
      <c r="V43" s="1157"/>
      <c r="W43" s="1157"/>
      <c r="X43" s="1157"/>
    </row>
    <row r="44" spans="1:24" s="325" customFormat="1" x14ac:dyDescent="0.65">
      <c r="C44" s="325" t="s">
        <v>837</v>
      </c>
      <c r="F44" s="1175"/>
      <c r="G44" s="1157"/>
      <c r="H44" s="1157"/>
      <c r="I44" s="1157"/>
      <c r="J44" s="1157"/>
      <c r="K44" s="1157"/>
      <c r="L44" s="1176"/>
      <c r="M44" s="1177"/>
      <c r="N44" s="1178"/>
      <c r="O44" s="1178"/>
      <c r="P44" s="1178"/>
      <c r="Q44" s="1178"/>
      <c r="R44" s="1178"/>
      <c r="S44" s="1178"/>
      <c r="T44" s="1178"/>
      <c r="U44" s="1178"/>
      <c r="V44" s="1157"/>
      <c r="W44" s="1157"/>
      <c r="X44" s="1157"/>
    </row>
    <row r="45" spans="1:24" s="325" customFormat="1" x14ac:dyDescent="0.65">
      <c r="F45" s="1175"/>
      <c r="G45" s="1157"/>
      <c r="H45" s="1157"/>
      <c r="I45" s="1157"/>
      <c r="J45" s="1157"/>
      <c r="K45" s="1157"/>
      <c r="L45" s="1176"/>
      <c r="M45" s="1177"/>
      <c r="N45" s="1178"/>
      <c r="O45" s="1178"/>
      <c r="P45" s="1178"/>
      <c r="Q45" s="1178"/>
      <c r="R45" s="1178"/>
      <c r="S45" s="1178"/>
      <c r="T45" s="1178"/>
      <c r="U45" s="1178"/>
      <c r="V45" s="1157"/>
      <c r="W45" s="1157"/>
      <c r="X45" s="1157"/>
    </row>
    <row r="46" spans="1:24" s="325" customFormat="1" x14ac:dyDescent="0.65">
      <c r="F46" s="1175"/>
      <c r="G46" s="1157"/>
      <c r="H46" s="1157"/>
      <c r="I46" s="1157"/>
      <c r="J46" s="1157"/>
      <c r="K46" s="1157"/>
      <c r="L46" s="1176"/>
      <c r="M46" s="1177"/>
      <c r="N46" s="1178"/>
      <c r="O46" s="1178"/>
      <c r="P46" s="1178"/>
      <c r="Q46" s="1178"/>
      <c r="R46" s="1178"/>
      <c r="S46" s="1178"/>
      <c r="T46" s="1178"/>
      <c r="U46" s="1178"/>
      <c r="V46" s="1157"/>
      <c r="W46" s="1157"/>
      <c r="X46" s="1157"/>
    </row>
    <row r="47" spans="1:24" s="325" customFormat="1" x14ac:dyDescent="0.65">
      <c r="F47" s="1175"/>
      <c r="G47" s="1157"/>
      <c r="H47" s="1157"/>
      <c r="I47" s="1157"/>
      <c r="J47" s="1157"/>
      <c r="K47" s="1157"/>
      <c r="L47" s="1176"/>
      <c r="M47" s="1177"/>
      <c r="N47" s="1178"/>
      <c r="O47" s="1178"/>
      <c r="P47" s="1178"/>
      <c r="Q47" s="1178"/>
      <c r="R47" s="1178"/>
      <c r="S47" s="1178"/>
      <c r="T47" s="1178"/>
      <c r="U47" s="1178"/>
      <c r="V47" s="1157"/>
      <c r="W47" s="1157"/>
      <c r="X47" s="1157"/>
    </row>
    <row r="48" spans="1:24" s="325" customFormat="1" x14ac:dyDescent="0.65">
      <c r="F48" s="1175"/>
      <c r="G48" s="1157"/>
      <c r="H48" s="1157"/>
      <c r="I48" s="1157"/>
      <c r="J48" s="1157"/>
      <c r="K48" s="1157"/>
      <c r="L48" s="1176"/>
      <c r="M48" s="1177"/>
      <c r="N48" s="1178"/>
      <c r="O48" s="1178"/>
      <c r="P48" s="1178"/>
      <c r="Q48" s="1178"/>
      <c r="R48" s="1178"/>
      <c r="S48" s="1178"/>
      <c r="T48" s="1178"/>
      <c r="U48" s="1178"/>
      <c r="V48" s="1157"/>
      <c r="W48" s="1157"/>
      <c r="X48" s="1157"/>
    </row>
    <row r="49" spans="6:24" s="325" customFormat="1" x14ac:dyDescent="0.65">
      <c r="F49" s="1175"/>
      <c r="G49" s="1157"/>
      <c r="H49" s="1157"/>
      <c r="I49" s="1157"/>
      <c r="J49" s="1157"/>
      <c r="K49" s="1157"/>
      <c r="L49" s="1176"/>
      <c r="M49" s="1177"/>
      <c r="N49" s="1178"/>
      <c r="O49" s="1178"/>
      <c r="P49" s="1178"/>
      <c r="Q49" s="1178"/>
      <c r="R49" s="1178"/>
      <c r="S49" s="1178"/>
      <c r="T49" s="1178"/>
      <c r="U49" s="1178"/>
      <c r="V49" s="1157"/>
      <c r="W49" s="1157"/>
      <c r="X49" s="1157"/>
    </row>
    <row r="50" spans="6:24" s="325" customFormat="1" x14ac:dyDescent="0.65">
      <c r="F50" s="1175"/>
      <c r="G50" s="1157"/>
      <c r="H50" s="1157"/>
      <c r="I50" s="1157"/>
      <c r="J50" s="1157"/>
      <c r="K50" s="1157"/>
      <c r="L50" s="1176"/>
      <c r="M50" s="1177"/>
      <c r="N50" s="1178"/>
      <c r="O50" s="1178"/>
      <c r="P50" s="1178"/>
      <c r="Q50" s="1178"/>
      <c r="R50" s="1178"/>
      <c r="S50" s="1178"/>
      <c r="T50" s="1178"/>
      <c r="U50" s="1178"/>
      <c r="V50" s="1157"/>
      <c r="W50" s="1157"/>
      <c r="X50" s="1157"/>
    </row>
    <row r="51" spans="6:24" s="325" customFormat="1" x14ac:dyDescent="0.65">
      <c r="F51" s="1175"/>
      <c r="G51" s="1157"/>
      <c r="H51" s="1157"/>
      <c r="I51" s="1157"/>
      <c r="J51" s="1157"/>
      <c r="K51" s="1157"/>
      <c r="L51" s="1176"/>
      <c r="M51" s="1177"/>
      <c r="N51" s="1178"/>
      <c r="O51" s="1178"/>
      <c r="P51" s="1178"/>
      <c r="Q51" s="1178"/>
      <c r="R51" s="1178"/>
      <c r="S51" s="1178"/>
      <c r="T51" s="1178"/>
      <c r="U51" s="1178"/>
      <c r="V51" s="1157"/>
      <c r="W51" s="1157"/>
      <c r="X51" s="1157"/>
    </row>
    <row r="52" spans="6:24" s="325" customFormat="1" x14ac:dyDescent="0.65">
      <c r="F52" s="1175"/>
      <c r="G52" s="1157"/>
      <c r="H52" s="1157"/>
      <c r="I52" s="1157"/>
      <c r="J52" s="1157"/>
      <c r="K52" s="1157"/>
      <c r="L52" s="1176"/>
      <c r="M52" s="1177"/>
      <c r="N52" s="1178"/>
      <c r="O52" s="1178"/>
      <c r="P52" s="1178"/>
      <c r="Q52" s="1178"/>
      <c r="R52" s="1178"/>
      <c r="S52" s="1178"/>
      <c r="T52" s="1178"/>
      <c r="U52" s="1178"/>
      <c r="V52" s="1157"/>
      <c r="W52" s="1157"/>
      <c r="X52" s="1157"/>
    </row>
    <row r="53" spans="6:24" s="325" customFormat="1" x14ac:dyDescent="0.65">
      <c r="F53" s="1175"/>
      <c r="G53" s="1157"/>
      <c r="H53" s="1157"/>
      <c r="I53" s="1157"/>
      <c r="J53" s="1157"/>
      <c r="K53" s="1157"/>
      <c r="L53" s="1176"/>
      <c r="M53" s="1177"/>
      <c r="N53" s="1178"/>
      <c r="O53" s="1178"/>
      <c r="P53" s="1178"/>
      <c r="Q53" s="1178"/>
      <c r="R53" s="1178"/>
      <c r="S53" s="1178"/>
      <c r="T53" s="1178"/>
      <c r="U53" s="1178"/>
      <c r="V53" s="1157"/>
      <c r="W53" s="1157"/>
      <c r="X53" s="1157"/>
    </row>
    <row r="54" spans="6:24" s="325" customFormat="1" x14ac:dyDescent="0.65">
      <c r="F54" s="1175"/>
      <c r="G54" s="1157"/>
      <c r="H54" s="1157"/>
      <c r="I54" s="1157"/>
      <c r="J54" s="1157"/>
      <c r="K54" s="1157"/>
      <c r="L54" s="1176"/>
      <c r="M54" s="1177"/>
      <c r="N54" s="1178"/>
      <c r="O54" s="1178"/>
      <c r="P54" s="1178"/>
      <c r="Q54" s="1178"/>
      <c r="R54" s="1178"/>
      <c r="S54" s="1178"/>
      <c r="T54" s="1178"/>
      <c r="U54" s="1178"/>
      <c r="V54" s="1157"/>
      <c r="W54" s="1157"/>
      <c r="X54" s="1157"/>
    </row>
    <row r="55" spans="6:24" s="325" customFormat="1" x14ac:dyDescent="0.65">
      <c r="F55" s="1175"/>
      <c r="G55" s="1157"/>
      <c r="H55" s="1157"/>
      <c r="I55" s="1157"/>
      <c r="J55" s="1157"/>
      <c r="K55" s="1157"/>
      <c r="L55" s="1176"/>
      <c r="M55" s="1177"/>
      <c r="N55" s="1178"/>
      <c r="O55" s="1178"/>
      <c r="P55" s="1178"/>
      <c r="Q55" s="1178"/>
      <c r="R55" s="1178"/>
      <c r="S55" s="1178"/>
      <c r="T55" s="1178"/>
      <c r="U55" s="1178"/>
      <c r="V55" s="1157"/>
      <c r="W55" s="1157"/>
      <c r="X55" s="1157"/>
    </row>
    <row r="56" spans="6:24" s="325" customFormat="1" x14ac:dyDescent="0.65">
      <c r="F56" s="1175"/>
      <c r="G56" s="1157"/>
      <c r="H56" s="1157"/>
      <c r="I56" s="1157"/>
      <c r="J56" s="1157"/>
      <c r="K56" s="1157"/>
      <c r="L56" s="1176"/>
      <c r="M56" s="1177"/>
      <c r="N56" s="1178"/>
      <c r="O56" s="1178"/>
      <c r="P56" s="1178"/>
      <c r="Q56" s="1178"/>
      <c r="R56" s="1178"/>
      <c r="S56" s="1178"/>
      <c r="T56" s="1178"/>
      <c r="U56" s="1178"/>
      <c r="V56" s="1157"/>
      <c r="W56" s="1157"/>
      <c r="X56" s="1157"/>
    </row>
    <row r="57" spans="6:24" s="325" customFormat="1" x14ac:dyDescent="0.65">
      <c r="F57" s="1175"/>
      <c r="G57" s="1157"/>
      <c r="H57" s="1157"/>
      <c r="I57" s="1157"/>
      <c r="J57" s="1157"/>
      <c r="K57" s="1157"/>
      <c r="L57" s="1176"/>
      <c r="M57" s="1177"/>
      <c r="N57" s="1178"/>
      <c r="O57" s="1178"/>
      <c r="P57" s="1178"/>
      <c r="Q57" s="1178"/>
      <c r="R57" s="1178"/>
      <c r="S57" s="1178"/>
      <c r="T57" s="1178"/>
      <c r="U57" s="1178"/>
      <c r="V57" s="1157"/>
      <c r="W57" s="1157"/>
      <c r="X57" s="1157"/>
    </row>
    <row r="58" spans="6:24" s="325" customFormat="1" x14ac:dyDescent="0.65">
      <c r="F58" s="1175"/>
      <c r="G58" s="1157"/>
      <c r="H58" s="1157"/>
      <c r="I58" s="1157"/>
      <c r="J58" s="1157"/>
      <c r="K58" s="1157"/>
      <c r="L58" s="1176"/>
      <c r="M58" s="1177"/>
      <c r="N58" s="1178"/>
      <c r="O58" s="1178"/>
      <c r="P58" s="1178"/>
      <c r="Q58" s="1178"/>
      <c r="R58" s="1178"/>
      <c r="S58" s="1178"/>
      <c r="T58" s="1178"/>
      <c r="U58" s="1178"/>
      <c r="V58" s="1157"/>
      <c r="W58" s="1157"/>
      <c r="X58" s="1157"/>
    </row>
    <row r="59" spans="6:24" s="325" customFormat="1" x14ac:dyDescent="0.65">
      <c r="F59" s="1175"/>
      <c r="G59" s="1157"/>
      <c r="H59" s="1157"/>
      <c r="I59" s="1157"/>
      <c r="J59" s="1157"/>
      <c r="K59" s="1157"/>
      <c r="L59" s="1176"/>
      <c r="M59" s="1177"/>
      <c r="N59" s="1178"/>
      <c r="O59" s="1178"/>
      <c r="P59" s="1178"/>
      <c r="Q59" s="1178"/>
      <c r="R59" s="1178"/>
      <c r="S59" s="1178"/>
      <c r="T59" s="1178"/>
      <c r="U59" s="1178"/>
      <c r="V59" s="1157"/>
      <c r="W59" s="1157"/>
      <c r="X59" s="1157"/>
    </row>
    <row r="60" spans="6:24" s="325" customFormat="1" x14ac:dyDescent="0.65">
      <c r="F60" s="1175"/>
      <c r="G60" s="1157"/>
      <c r="H60" s="1157"/>
      <c r="I60" s="1157"/>
      <c r="J60" s="1157"/>
      <c r="K60" s="1157"/>
      <c r="L60" s="1176"/>
      <c r="M60" s="1177"/>
      <c r="N60" s="1178"/>
      <c r="O60" s="1178"/>
      <c r="P60" s="1178"/>
      <c r="Q60" s="1178"/>
      <c r="R60" s="1178"/>
      <c r="S60" s="1178"/>
      <c r="T60" s="1178"/>
      <c r="U60" s="1178"/>
      <c r="V60" s="1157"/>
      <c r="W60" s="1157"/>
      <c r="X60" s="1157"/>
    </row>
    <row r="61" spans="6:24" s="325" customFormat="1" x14ac:dyDescent="0.65">
      <c r="F61" s="1175"/>
      <c r="G61" s="1157"/>
      <c r="H61" s="1157"/>
      <c r="I61" s="1157"/>
      <c r="J61" s="1157"/>
      <c r="K61" s="1157"/>
      <c r="L61" s="1176"/>
      <c r="M61" s="1177"/>
      <c r="N61" s="1178"/>
      <c r="O61" s="1178"/>
      <c r="P61" s="1178"/>
      <c r="Q61" s="1178"/>
      <c r="R61" s="1178"/>
      <c r="S61" s="1178"/>
      <c r="T61" s="1178"/>
      <c r="U61" s="1178"/>
      <c r="V61" s="1157"/>
      <c r="W61" s="1157"/>
      <c r="X61" s="1157"/>
    </row>
    <row r="62" spans="6:24" s="325" customFormat="1" x14ac:dyDescent="0.65">
      <c r="F62" s="1175"/>
      <c r="G62" s="1157"/>
      <c r="H62" s="1157"/>
      <c r="I62" s="1157"/>
      <c r="J62" s="1157"/>
      <c r="K62" s="1157"/>
      <c r="L62" s="1176"/>
      <c r="M62" s="1177"/>
      <c r="N62" s="1178"/>
      <c r="O62" s="1178"/>
      <c r="P62" s="1178"/>
      <c r="Q62" s="1178"/>
      <c r="R62" s="1178"/>
      <c r="S62" s="1178"/>
      <c r="T62" s="1178"/>
      <c r="U62" s="1178"/>
      <c r="V62" s="1157"/>
      <c r="W62" s="1157"/>
      <c r="X62" s="1157"/>
    </row>
    <row r="63" spans="6:24" s="325" customFormat="1" x14ac:dyDescent="0.65">
      <c r="F63" s="1175"/>
      <c r="G63" s="1157"/>
      <c r="H63" s="1157"/>
      <c r="I63" s="1157"/>
      <c r="J63" s="1157"/>
      <c r="K63" s="1157"/>
      <c r="L63" s="1176"/>
      <c r="M63" s="1177"/>
      <c r="N63" s="1178"/>
      <c r="O63" s="1178"/>
      <c r="P63" s="1178"/>
      <c r="Q63" s="1178"/>
      <c r="R63" s="1178"/>
      <c r="S63" s="1178"/>
      <c r="T63" s="1178"/>
      <c r="U63" s="1178"/>
      <c r="V63" s="1157"/>
      <c r="W63" s="1157"/>
      <c r="X63" s="1157"/>
    </row>
    <row r="64" spans="6:24" s="325" customFormat="1" x14ac:dyDescent="0.65">
      <c r="F64" s="1175"/>
      <c r="G64" s="1157"/>
      <c r="H64" s="1157"/>
      <c r="I64" s="1157"/>
      <c r="J64" s="1157"/>
      <c r="K64" s="1157"/>
      <c r="L64" s="1176"/>
      <c r="M64" s="1177"/>
      <c r="N64" s="1178"/>
      <c r="O64" s="1178"/>
      <c r="P64" s="1178"/>
      <c r="Q64" s="1178"/>
      <c r="R64" s="1178"/>
      <c r="S64" s="1178"/>
      <c r="T64" s="1178"/>
      <c r="U64" s="1178"/>
      <c r="V64" s="1157"/>
      <c r="W64" s="1157"/>
      <c r="X64" s="1157"/>
    </row>
  </sheetData>
  <mergeCells count="49">
    <mergeCell ref="I27:I30"/>
    <mergeCell ref="H4:H6"/>
    <mergeCell ref="H7:H9"/>
    <mergeCell ref="H10:H12"/>
    <mergeCell ref="H13:H15"/>
    <mergeCell ref="H16:H17"/>
    <mergeCell ref="L1:L2"/>
    <mergeCell ref="D4:D6"/>
    <mergeCell ref="C4:C6"/>
    <mergeCell ref="A4:A19"/>
    <mergeCell ref="D7:D9"/>
    <mergeCell ref="G4:G6"/>
    <mergeCell ref="G7:G9"/>
    <mergeCell ref="C7:C9"/>
    <mergeCell ref="D10:D12"/>
    <mergeCell ref="C10:C12"/>
    <mergeCell ref="G10:G12"/>
    <mergeCell ref="B18:B19"/>
    <mergeCell ref="G16:G17"/>
    <mergeCell ref="B4:B17"/>
    <mergeCell ref="C16:C17"/>
    <mergeCell ref="D16:D17"/>
    <mergeCell ref="G13:G15"/>
    <mergeCell ref="D21:D22"/>
    <mergeCell ref="C21:C22"/>
    <mergeCell ref="G21:G22"/>
    <mergeCell ref="D35:D37"/>
    <mergeCell ref="C35:C37"/>
    <mergeCell ref="G35:G37"/>
    <mergeCell ref="C18:C19"/>
    <mergeCell ref="C32:C34"/>
    <mergeCell ref="D13:D15"/>
    <mergeCell ref="C13:C15"/>
    <mergeCell ref="A28:A34"/>
    <mergeCell ref="B35:B39"/>
    <mergeCell ref="A35:A39"/>
    <mergeCell ref="Y18:AA18"/>
    <mergeCell ref="A20:A27"/>
    <mergeCell ref="B20:B26"/>
    <mergeCell ref="C23:C24"/>
    <mergeCell ref="D23:D24"/>
    <mergeCell ref="G23:G24"/>
    <mergeCell ref="B28:B30"/>
    <mergeCell ref="B32:B34"/>
    <mergeCell ref="H18:H19"/>
    <mergeCell ref="H21:H22"/>
    <mergeCell ref="H23:H24"/>
    <mergeCell ref="H27:H30"/>
    <mergeCell ref="H35:H37"/>
  </mergeCells>
  <hyperlinks>
    <hyperlink ref="AC25" r:id="rId1" location=":~:text=Updating%20your%20lighting%20can%20be,your%20lighting%20more%20energy%20efficient." xr:uid="{C5D94474-5981-470F-A7DF-E876ACBFADBB}"/>
    <hyperlink ref="X25" r:id="rId2" xr:uid="{073D1C4E-7509-4895-A8E8-9FFB3E147600}"/>
  </hyperlinks>
  <pageMargins left="0.7" right="0.7" top="0.75" bottom="0.75" header="0.3" footer="0.3"/>
  <pageSetup scale="42" orientation="landscape" r:id="rId3"/>
  <colBreaks count="1" manualBreakCount="1">
    <brk id="9" max="1048575" man="1"/>
  </colBreaks>
  <ignoredErrors>
    <ignoredError sqref="Q2" formula="1"/>
    <ignoredError sqref="C20" formulaRange="1"/>
  </ignoredErrors>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CB051-AFFE-4B2C-8C14-FE363FDDF7BA}">
  <sheetPr>
    <tabColor theme="9" tint="0.79998168889431442"/>
  </sheetPr>
  <dimension ref="A1:AY133"/>
  <sheetViews>
    <sheetView zoomScale="55" zoomScaleNormal="55" workbookViewId="0">
      <pane xSplit="2" ySplit="2" topLeftCell="C3" activePane="bottomRight" state="frozen"/>
      <selection activeCell="B39" sqref="A39:XFD39"/>
      <selection pane="topRight" activeCell="B39" sqref="A39:XFD39"/>
      <selection pane="bottomLeft" activeCell="B39" sqref="A39:XFD39"/>
      <selection pane="bottomRight" activeCell="D8" sqref="D8"/>
    </sheetView>
  </sheetViews>
  <sheetFormatPr defaultColWidth="9" defaultRowHeight="18.5" x14ac:dyDescent="0.9"/>
  <cols>
    <col min="1" max="1" width="32.25" style="858" customWidth="1"/>
    <col min="2" max="2" width="34.25" style="858" bestFit="1" customWidth="1"/>
    <col min="3" max="3" width="64.75" style="858" bestFit="1" customWidth="1"/>
    <col min="4" max="4" width="35.5" style="858" bestFit="1" customWidth="1"/>
    <col min="5" max="5" width="16.75" style="858" customWidth="1"/>
    <col min="6" max="6" width="30.75" style="858" bestFit="1" customWidth="1"/>
    <col min="7" max="7" width="19.125" style="858" customWidth="1"/>
    <col min="8" max="8" width="21.125" style="858" customWidth="1"/>
    <col min="9" max="11" width="19.125" style="900" customWidth="1"/>
    <col min="12" max="12" width="29.625" style="909" customWidth="1"/>
    <col min="13" max="13" width="42.125" style="856" customWidth="1"/>
    <col min="14" max="14" width="41.25" style="910" customWidth="1"/>
    <col min="15" max="15" width="33.75" style="338" customWidth="1"/>
    <col min="16" max="16" width="23.875" style="911" bestFit="1" customWidth="1"/>
    <col min="17" max="17" width="19" style="858" customWidth="1"/>
    <col min="18" max="18" width="12.625" style="859" customWidth="1"/>
    <col min="19" max="19" width="27.75" style="859" customWidth="1"/>
    <col min="20" max="20" width="29.25" style="878" customWidth="1"/>
    <col min="21" max="21" width="24" style="878" customWidth="1"/>
    <col min="22" max="22" width="23.75" style="878" customWidth="1"/>
    <col min="23" max="23" width="30.375" style="878" customWidth="1"/>
    <col min="24" max="32" width="22.375" style="859" customWidth="1"/>
    <col min="33" max="36" width="9" style="859" bestFit="1"/>
    <col min="37" max="49" width="9" style="859"/>
    <col min="50" max="16384" width="9" style="858"/>
  </cols>
  <sheetData>
    <row r="1" spans="1:49" ht="24.25" thickBot="1" x14ac:dyDescent="0.9">
      <c r="A1" s="1531"/>
      <c r="B1" s="1531"/>
      <c r="D1" s="1532"/>
      <c r="E1" s="1532"/>
      <c r="F1" s="1532"/>
      <c r="G1" s="1532"/>
      <c r="H1" s="690"/>
      <c r="I1" s="729"/>
      <c r="J1" s="729"/>
      <c r="K1" s="729"/>
      <c r="L1" s="730"/>
      <c r="M1" s="912"/>
      <c r="N1" s="858"/>
      <c r="O1" s="858"/>
      <c r="P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58"/>
      <c r="AT1" s="858"/>
      <c r="AU1" s="858"/>
      <c r="AV1" s="858"/>
      <c r="AW1" s="858"/>
    </row>
    <row r="2" spans="1:49" ht="44.65" customHeight="1" thickBot="1" x14ac:dyDescent="0.9">
      <c r="A2" s="1065" t="s">
        <v>0</v>
      </c>
      <c r="B2" s="1066" t="s">
        <v>1</v>
      </c>
      <c r="C2" s="1067" t="s">
        <v>592</v>
      </c>
      <c r="D2" s="1388" t="s">
        <v>487</v>
      </c>
      <c r="E2" s="1388"/>
      <c r="F2" s="1388" t="s">
        <v>488</v>
      </c>
      <c r="G2" s="1388"/>
      <c r="H2" s="451" t="s">
        <v>1108</v>
      </c>
      <c r="I2" s="451" t="s">
        <v>1107</v>
      </c>
      <c r="J2" s="451" t="s">
        <v>1115</v>
      </c>
      <c r="K2" s="451" t="s">
        <v>1116</v>
      </c>
      <c r="L2" s="731" t="s">
        <v>1106</v>
      </c>
      <c r="M2" s="1068" t="s">
        <v>877</v>
      </c>
      <c r="N2" s="858"/>
      <c r="O2" s="858"/>
      <c r="P2" s="858"/>
      <c r="R2" s="858"/>
      <c r="S2" s="858"/>
      <c r="T2" s="858"/>
      <c r="U2" s="858"/>
      <c r="V2" s="858"/>
      <c r="W2" s="858"/>
      <c r="X2" s="858"/>
      <c r="Y2" s="858"/>
      <c r="Z2" s="858"/>
      <c r="AA2" s="858"/>
      <c r="AB2" s="858"/>
      <c r="AC2" s="858"/>
      <c r="AD2" s="858"/>
      <c r="AE2" s="858"/>
      <c r="AF2" s="858"/>
      <c r="AG2" s="858"/>
      <c r="AH2" s="858"/>
      <c r="AI2" s="858"/>
      <c r="AJ2" s="858"/>
      <c r="AK2" s="858"/>
      <c r="AL2" s="858"/>
      <c r="AM2" s="858"/>
      <c r="AN2" s="858"/>
      <c r="AO2" s="858"/>
      <c r="AP2" s="858"/>
      <c r="AQ2" s="858"/>
      <c r="AR2" s="858"/>
      <c r="AS2" s="858"/>
      <c r="AT2" s="858"/>
      <c r="AU2" s="858"/>
      <c r="AV2" s="858"/>
      <c r="AW2" s="858"/>
    </row>
    <row r="3" spans="1:49" ht="44.65" customHeight="1" x14ac:dyDescent="0.75">
      <c r="A3" s="1533" t="s">
        <v>529</v>
      </c>
      <c r="B3" s="1413" t="s">
        <v>70</v>
      </c>
      <c r="C3" s="1062" t="s">
        <v>918</v>
      </c>
      <c r="D3" s="727" t="s">
        <v>642</v>
      </c>
      <c r="E3" s="726">
        <v>10</v>
      </c>
      <c r="F3" s="727" t="s">
        <v>629</v>
      </c>
      <c r="G3" s="1063">
        <v>20</v>
      </c>
      <c r="H3" s="1234">
        <f>IF(E3&lt;20,2944/0.001,2106/0.001)</f>
        <v>2944000</v>
      </c>
      <c r="I3" s="1086" t="str">
        <f>'Cost Data'!I3</f>
        <v>$/MW</v>
      </c>
      <c r="J3" s="719">
        <f>'Cost Data'!J3</f>
        <v>0</v>
      </c>
      <c r="K3" s="1086">
        <f>'Cost Data'!K3</f>
        <v>0</v>
      </c>
      <c r="L3" s="1124">
        <f>H3*E3*G3</f>
        <v>588800000</v>
      </c>
      <c r="M3" s="1064" t="s">
        <v>1111</v>
      </c>
      <c r="N3" s="883" t="s">
        <v>1179</v>
      </c>
      <c r="O3" s="883" t="s">
        <v>1180</v>
      </c>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c r="AW3" s="858"/>
    </row>
    <row r="4" spans="1:49" ht="44.65" customHeight="1" x14ac:dyDescent="0.75">
      <c r="A4" s="1534"/>
      <c r="B4" s="1438"/>
      <c r="C4" s="897" t="s">
        <v>919</v>
      </c>
      <c r="D4" s="466" t="s">
        <v>920</v>
      </c>
      <c r="E4" s="685">
        <v>1000</v>
      </c>
      <c r="F4" s="466" t="s">
        <v>921</v>
      </c>
      <c r="G4" s="836">
        <v>40</v>
      </c>
      <c r="H4" s="1047">
        <f>IF(E4&lt;500,4702,2944)</f>
        <v>2944</v>
      </c>
      <c r="I4" s="1087" t="str">
        <f>'Cost Data'!I4</f>
        <v>$/kW</v>
      </c>
      <c r="J4" s="714">
        <f>'Cost Data'!J4</f>
        <v>0</v>
      </c>
      <c r="K4" s="1087">
        <f>'Cost Data'!K4</f>
        <v>0</v>
      </c>
      <c r="L4" s="1055">
        <f>H4*E4*G4</f>
        <v>117760000</v>
      </c>
      <c r="M4" s="804" t="s">
        <v>1111</v>
      </c>
      <c r="N4" s="764"/>
      <c r="O4" s="882"/>
      <c r="P4" s="858"/>
      <c r="R4" s="858"/>
      <c r="S4" s="858"/>
      <c r="T4" s="858"/>
      <c r="U4" s="858"/>
      <c r="V4" s="858"/>
      <c r="W4" s="858"/>
      <c r="X4" s="858"/>
      <c r="Y4" s="858"/>
      <c r="Z4" s="858"/>
      <c r="AA4" s="858"/>
      <c r="AB4" s="858"/>
      <c r="AC4" s="858"/>
      <c r="AD4" s="858"/>
      <c r="AE4" s="858"/>
      <c r="AF4" s="858"/>
      <c r="AG4" s="858"/>
      <c r="AH4" s="858"/>
      <c r="AI4" s="858"/>
      <c r="AJ4" s="858"/>
      <c r="AK4" s="858"/>
      <c r="AL4" s="858"/>
      <c r="AM4" s="858"/>
      <c r="AN4" s="858"/>
      <c r="AO4" s="858"/>
      <c r="AP4" s="858"/>
      <c r="AQ4" s="858"/>
      <c r="AR4" s="858"/>
      <c r="AS4" s="858"/>
      <c r="AT4" s="858"/>
      <c r="AU4" s="858"/>
      <c r="AV4" s="858"/>
      <c r="AW4" s="858"/>
    </row>
    <row r="5" spans="1:49" ht="84.65" customHeight="1" x14ac:dyDescent="1">
      <c r="A5" s="1534"/>
      <c r="B5" s="1434" t="s">
        <v>610</v>
      </c>
      <c r="C5" s="897" t="s">
        <v>603</v>
      </c>
      <c r="D5" s="466" t="s">
        <v>616</v>
      </c>
      <c r="E5" s="685">
        <v>2700</v>
      </c>
      <c r="F5" s="466" t="s">
        <v>1144</v>
      </c>
      <c r="G5" s="890">
        <f>'Cost Data'!G5</f>
        <v>5</v>
      </c>
      <c r="H5" s="714">
        <f>5000*G5</f>
        <v>25000</v>
      </c>
      <c r="I5" s="1087" t="str">
        <f>'Cost Data'!I5</f>
        <v>$/building</v>
      </c>
      <c r="J5" s="714">
        <f>'Cost Data'!J5</f>
        <v>0</v>
      </c>
      <c r="K5" s="1087">
        <f>'Cost Data'!K5</f>
        <v>0</v>
      </c>
      <c r="L5" s="1055">
        <f>E5*H5</f>
        <v>67500000</v>
      </c>
      <c r="M5" s="935" t="s">
        <v>1189</v>
      </c>
      <c r="N5" s="1056" t="s">
        <v>1186</v>
      </c>
      <c r="O5" s="856" t="s">
        <v>1182</v>
      </c>
      <c r="P5" s="821" t="s">
        <v>1169</v>
      </c>
      <c r="Q5" s="821" t="s">
        <v>1170</v>
      </c>
      <c r="R5" s="858" t="s">
        <v>1171</v>
      </c>
      <c r="S5" s="856" t="s">
        <v>1172</v>
      </c>
      <c r="T5" s="1540" t="s">
        <v>1188</v>
      </c>
      <c r="U5" s="1540"/>
      <c r="V5" s="858"/>
      <c r="W5" s="858"/>
      <c r="X5" s="858"/>
      <c r="Y5" s="858"/>
      <c r="Z5" s="858"/>
      <c r="AA5" s="858"/>
      <c r="AB5" s="858"/>
      <c r="AC5" s="858"/>
      <c r="AD5" s="858"/>
      <c r="AE5" s="858"/>
      <c r="AF5" s="858"/>
      <c r="AG5" s="858"/>
      <c r="AH5" s="858"/>
      <c r="AI5" s="858"/>
      <c r="AJ5" s="858"/>
      <c r="AK5" s="858"/>
      <c r="AL5" s="858"/>
      <c r="AM5" s="858"/>
      <c r="AN5" s="858"/>
      <c r="AO5" s="858"/>
      <c r="AP5" s="858"/>
      <c r="AQ5" s="858"/>
      <c r="AR5" s="858"/>
      <c r="AS5" s="858"/>
      <c r="AT5" s="858"/>
      <c r="AU5" s="858"/>
      <c r="AV5" s="858"/>
      <c r="AW5" s="858"/>
    </row>
    <row r="6" spans="1:49" ht="44.65" customHeight="1" x14ac:dyDescent="0.9">
      <c r="A6" s="1534"/>
      <c r="B6" s="1434"/>
      <c r="C6" s="897" t="s">
        <v>604</v>
      </c>
      <c r="D6" s="466" t="s">
        <v>1296</v>
      </c>
      <c r="E6" s="1247" t="e">
        <f>'Summary PCAP Table'!O9</f>
        <v>#REF!</v>
      </c>
      <c r="F6" s="466" t="s">
        <v>1144</v>
      </c>
      <c r="G6" s="890">
        <f>'Cost Data'!G6</f>
        <v>5</v>
      </c>
      <c r="H6" s="714">
        <f>5000*G6</f>
        <v>25000</v>
      </c>
      <c r="I6" s="1087" t="str">
        <f>'Cost Data'!I6</f>
        <v>$/unit</v>
      </c>
      <c r="J6" s="714">
        <f>'Cost Data'!J6</f>
        <v>0</v>
      </c>
      <c r="K6" s="1087">
        <f>'Cost Data'!K6</f>
        <v>0</v>
      </c>
      <c r="L6" s="1055" t="e">
        <f>E6*H6</f>
        <v>#REF!</v>
      </c>
      <c r="M6" s="935" t="s">
        <v>1184</v>
      </c>
      <c r="N6" s="857" t="s">
        <v>1166</v>
      </c>
      <c r="O6" s="886" t="s">
        <v>1185</v>
      </c>
      <c r="P6" s="858">
        <f>(55/Factors!N60)*5000</f>
        <v>22.916666666666668</v>
      </c>
      <c r="Q6" s="858">
        <f>5000/550</f>
        <v>9.0909090909090917</v>
      </c>
      <c r="R6" s="858">
        <f>(55/Factors!N60)*10000</f>
        <v>45.833333333333336</v>
      </c>
      <c r="S6" s="858">
        <f>10000/550</f>
        <v>18.181818181818183</v>
      </c>
      <c r="T6" s="858"/>
      <c r="U6" s="858"/>
      <c r="V6" s="858"/>
      <c r="W6" s="858"/>
      <c r="X6" s="858"/>
      <c r="Y6" s="858"/>
      <c r="Z6" s="858"/>
      <c r="AA6" s="858"/>
      <c r="AB6" s="858"/>
      <c r="AC6" s="858"/>
      <c r="AD6" s="858"/>
      <c r="AE6" s="858"/>
      <c r="AF6" s="858"/>
      <c r="AG6" s="858"/>
      <c r="AH6" s="858"/>
      <c r="AI6" s="858"/>
      <c r="AJ6" s="858"/>
      <c r="AK6" s="858"/>
      <c r="AL6" s="858"/>
      <c r="AM6" s="858"/>
      <c r="AN6" s="858"/>
      <c r="AO6" s="858"/>
      <c r="AP6" s="858"/>
      <c r="AQ6" s="858"/>
      <c r="AR6" s="858"/>
      <c r="AS6" s="858"/>
      <c r="AT6" s="858"/>
      <c r="AU6" s="858"/>
      <c r="AV6" s="858"/>
      <c r="AW6" s="858"/>
    </row>
    <row r="7" spans="1:49" ht="44.65" customHeight="1" x14ac:dyDescent="1.1499999999999999">
      <c r="A7" s="1534"/>
      <c r="B7" s="1434"/>
      <c r="C7" s="897" t="s">
        <v>605</v>
      </c>
      <c r="D7" s="466" t="s">
        <v>618</v>
      </c>
      <c r="E7" s="685">
        <v>230</v>
      </c>
      <c r="F7" s="466" t="s">
        <v>1144</v>
      </c>
      <c r="G7" s="890">
        <f>'Cost Data'!G7</f>
        <v>22.916666666666668</v>
      </c>
      <c r="H7" s="714">
        <f>5000*G7</f>
        <v>114583.33333333334</v>
      </c>
      <c r="I7" s="1087" t="str">
        <f>'Cost Data'!I7</f>
        <v>$/building</v>
      </c>
      <c r="J7" s="714">
        <f>'Cost Data'!J7</f>
        <v>0</v>
      </c>
      <c r="K7" s="1087">
        <f>'Cost Data'!K7</f>
        <v>0</v>
      </c>
      <c r="L7" s="1055">
        <f>E7*H7</f>
        <v>26354166.666666668</v>
      </c>
      <c r="M7" s="935" t="s">
        <v>1184</v>
      </c>
      <c r="N7" s="657"/>
      <c r="O7" s="858"/>
      <c r="P7" s="858"/>
      <c r="R7" s="858"/>
      <c r="S7" s="858"/>
      <c r="T7" s="858"/>
      <c r="U7" s="858"/>
      <c r="V7" s="858"/>
      <c r="W7" s="858"/>
      <c r="X7" s="858"/>
      <c r="Y7" s="858"/>
      <c r="Z7" s="858"/>
      <c r="AA7" s="858"/>
      <c r="AB7" s="858"/>
      <c r="AC7" s="858"/>
      <c r="AD7" s="858"/>
      <c r="AE7" s="858"/>
      <c r="AF7" s="858"/>
      <c r="AG7" s="858"/>
      <c r="AH7" s="858"/>
      <c r="AI7" s="858"/>
      <c r="AJ7" s="858"/>
      <c r="AK7" s="858"/>
      <c r="AL7" s="858"/>
      <c r="AM7" s="858"/>
      <c r="AN7" s="858"/>
      <c r="AO7" s="858"/>
      <c r="AP7" s="858"/>
      <c r="AQ7" s="858"/>
      <c r="AR7" s="858"/>
      <c r="AS7" s="858"/>
      <c r="AT7" s="858"/>
      <c r="AU7" s="858"/>
      <c r="AV7" s="858"/>
      <c r="AW7" s="858"/>
    </row>
    <row r="8" spans="1:49" ht="44.65" customHeight="1" x14ac:dyDescent="1.1499999999999999">
      <c r="A8" s="1534"/>
      <c r="B8" s="1438" t="s">
        <v>1069</v>
      </c>
      <c r="C8" s="897" t="s">
        <v>1071</v>
      </c>
      <c r="D8" s="466" t="s">
        <v>1099</v>
      </c>
      <c r="E8" s="933">
        <v>50</v>
      </c>
      <c r="F8" s="466" t="s">
        <v>1085</v>
      </c>
      <c r="G8" s="1046">
        <v>107</v>
      </c>
      <c r="H8" s="1047">
        <f>IF(E8&lt;550,8425,IF(D8&lt;20000,3270,1750))</f>
        <v>8425</v>
      </c>
      <c r="I8" s="1087" t="str">
        <f>'Cost Data'!I8</f>
        <v>$/kW</v>
      </c>
      <c r="J8" s="714">
        <f>'Cost Data'!J8</f>
        <v>0</v>
      </c>
      <c r="K8" s="1087">
        <f>'Cost Data'!K8</f>
        <v>0</v>
      </c>
      <c r="L8" s="1055">
        <f>H8*E8*G8</f>
        <v>45073750</v>
      </c>
      <c r="M8" s="804" t="s">
        <v>1112</v>
      </c>
      <c r="N8" s="657"/>
      <c r="O8" s="858"/>
      <c r="P8" s="858"/>
      <c r="R8" s="858"/>
      <c r="S8" s="858"/>
      <c r="T8" s="858"/>
      <c r="U8" s="858"/>
      <c r="V8" s="858"/>
      <c r="W8" s="858"/>
      <c r="X8" s="858"/>
      <c r="Y8" s="858"/>
      <c r="Z8" s="858"/>
      <c r="AA8" s="858"/>
      <c r="AB8" s="858"/>
      <c r="AC8" s="858"/>
      <c r="AD8" s="858"/>
      <c r="AE8" s="858"/>
      <c r="AF8" s="858"/>
      <c r="AG8" s="858"/>
      <c r="AH8" s="858"/>
      <c r="AI8" s="858"/>
      <c r="AJ8" s="858"/>
      <c r="AK8" s="858"/>
      <c r="AL8" s="858"/>
      <c r="AM8" s="858"/>
      <c r="AN8" s="858"/>
      <c r="AO8" s="858"/>
      <c r="AP8" s="858"/>
      <c r="AQ8" s="858"/>
      <c r="AR8" s="858"/>
      <c r="AS8" s="858"/>
      <c r="AT8" s="858"/>
      <c r="AU8" s="858"/>
      <c r="AV8" s="858"/>
      <c r="AW8" s="858"/>
    </row>
    <row r="9" spans="1:49" ht="44.65" customHeight="1" x14ac:dyDescent="1.1499999999999999">
      <c r="A9" s="1534"/>
      <c r="B9" s="1438"/>
      <c r="C9" s="897" t="s">
        <v>1070</v>
      </c>
      <c r="D9" s="466" t="s">
        <v>1100</v>
      </c>
      <c r="E9" s="685">
        <v>50</v>
      </c>
      <c r="F9" s="466" t="s">
        <v>1086</v>
      </c>
      <c r="G9" s="836">
        <v>107</v>
      </c>
      <c r="H9" s="1047">
        <f>IF(E9&lt;550,2682,IF(D9&lt;20000,1761,1161))</f>
        <v>2682</v>
      </c>
      <c r="I9" s="1087" t="str">
        <f>'Cost Data'!I9</f>
        <v>$/kW</v>
      </c>
      <c r="J9" s="714">
        <f>'Cost Data'!J9</f>
        <v>0</v>
      </c>
      <c r="K9" s="1087">
        <f>'Cost Data'!K9</f>
        <v>0</v>
      </c>
      <c r="L9" s="1055">
        <f>H9*E9*G9</f>
        <v>14348700</v>
      </c>
      <c r="M9" s="804" t="s">
        <v>1111</v>
      </c>
      <c r="N9" s="657"/>
      <c r="O9" s="858"/>
      <c r="P9" s="858"/>
      <c r="R9" s="858"/>
      <c r="S9" s="858"/>
      <c r="T9" s="858"/>
      <c r="U9" s="858"/>
      <c r="V9" s="858"/>
      <c r="W9" s="858"/>
      <c r="X9" s="858"/>
      <c r="Y9" s="858"/>
      <c r="Z9" s="858"/>
      <c r="AA9" s="858"/>
      <c r="AB9" s="858"/>
      <c r="AC9" s="858"/>
      <c r="AD9" s="858"/>
      <c r="AE9" s="858"/>
      <c r="AF9" s="858"/>
      <c r="AG9" s="858"/>
      <c r="AH9" s="858"/>
      <c r="AI9" s="858"/>
      <c r="AJ9" s="858"/>
      <c r="AK9" s="858"/>
      <c r="AL9" s="858"/>
      <c r="AM9" s="858"/>
      <c r="AN9" s="858"/>
      <c r="AO9" s="858"/>
      <c r="AP9" s="858"/>
      <c r="AQ9" s="858"/>
      <c r="AR9" s="858"/>
      <c r="AS9" s="858"/>
      <c r="AT9" s="858"/>
      <c r="AU9" s="858"/>
      <c r="AV9" s="858"/>
      <c r="AW9" s="858"/>
    </row>
    <row r="10" spans="1:49" ht="44.65" customHeight="1" thickBot="1" x14ac:dyDescent="1.3">
      <c r="A10" s="1535"/>
      <c r="B10" s="1541"/>
      <c r="C10" s="1060" t="s">
        <v>823</v>
      </c>
      <c r="D10" s="688" t="s">
        <v>1102</v>
      </c>
      <c r="E10" s="689">
        <v>1000</v>
      </c>
      <c r="F10" s="688" t="s">
        <v>852</v>
      </c>
      <c r="G10" s="1061">
        <v>5</v>
      </c>
      <c r="H10" s="723">
        <f>'Cost Data'!H10</f>
        <v>2574</v>
      </c>
      <c r="I10" s="1088" t="str">
        <f>'Cost Data'!I10</f>
        <v>$/kw</v>
      </c>
      <c r="J10" s="723">
        <f>'Cost Data'!J10</f>
        <v>0</v>
      </c>
      <c r="K10" s="1088">
        <f>'Cost Data'!K10</f>
        <v>0</v>
      </c>
      <c r="L10" s="1125">
        <f>H10*E10*G10</f>
        <v>12870000</v>
      </c>
      <c r="M10" s="805" t="s">
        <v>1114</v>
      </c>
      <c r="N10" s="657"/>
      <c r="O10" s="858"/>
      <c r="P10" s="858"/>
      <c r="R10" s="858"/>
      <c r="S10" s="899" t="s">
        <v>1210</v>
      </c>
      <c r="T10" s="858"/>
      <c r="U10" s="858"/>
      <c r="V10" s="858"/>
      <c r="W10" s="834" t="s">
        <v>1145</v>
      </c>
      <c r="X10" s="900"/>
      <c r="Y10" s="900"/>
      <c r="Z10" s="900"/>
      <c r="AA10" s="858"/>
      <c r="AB10" s="858"/>
      <c r="AC10" s="858"/>
      <c r="AD10" s="858"/>
      <c r="AE10" s="858"/>
      <c r="AF10" s="858"/>
      <c r="AG10" s="858"/>
      <c r="AH10" s="858"/>
      <c r="AI10" s="858"/>
      <c r="AJ10" s="858"/>
      <c r="AK10" s="858"/>
      <c r="AL10" s="858"/>
      <c r="AM10" s="858"/>
      <c r="AN10" s="858"/>
      <c r="AO10" s="858"/>
      <c r="AP10" s="858"/>
      <c r="AQ10" s="858"/>
      <c r="AR10" s="858"/>
      <c r="AS10" s="858"/>
      <c r="AT10" s="858"/>
      <c r="AU10" s="858"/>
      <c r="AV10" s="858"/>
      <c r="AW10" s="858"/>
    </row>
    <row r="11" spans="1:49" s="860" customFormat="1" ht="44.65" hidden="1" customHeight="1" thickBot="1" x14ac:dyDescent="1.3">
      <c r="A11" s="732"/>
      <c r="B11" s="732"/>
      <c r="C11" s="733"/>
      <c r="D11" s="734"/>
      <c r="E11" s="734"/>
      <c r="F11" s="734"/>
      <c r="G11" s="734"/>
      <c r="H11" s="719">
        <f>'Cost Data'!H11</f>
        <v>0</v>
      </c>
      <c r="I11" s="1086">
        <f>'Cost Data'!I11</f>
        <v>0</v>
      </c>
      <c r="J11" s="719">
        <f>'Cost Data'!J11</f>
        <v>0</v>
      </c>
      <c r="K11" s="1086">
        <f>'Cost Data'!K11</f>
        <v>0</v>
      </c>
      <c r="L11" s="1126"/>
      <c r="M11" s="1057"/>
      <c r="N11" s="735"/>
      <c r="R11" s="858"/>
      <c r="S11" s="858"/>
      <c r="T11" s="858"/>
      <c r="U11" s="858"/>
      <c r="V11" s="858"/>
      <c r="W11" s="913"/>
      <c r="X11" s="913"/>
      <c r="Y11" s="913"/>
      <c r="Z11" s="913"/>
    </row>
    <row r="12" spans="1:49" ht="39" hidden="1" customHeight="1" x14ac:dyDescent="0.75">
      <c r="A12" s="1536" t="s">
        <v>529</v>
      </c>
      <c r="B12" s="1438" t="s">
        <v>70</v>
      </c>
      <c r="C12" s="897" t="s">
        <v>370</v>
      </c>
      <c r="D12" s="466" t="s">
        <v>642</v>
      </c>
      <c r="E12" s="685"/>
      <c r="F12" s="466" t="s">
        <v>629</v>
      </c>
      <c r="G12" s="836"/>
      <c r="H12" s="714">
        <f>'Cost Data'!H12</f>
        <v>865000</v>
      </c>
      <c r="I12" s="1087" t="str">
        <f>'Cost Data'!I12</f>
        <v>$/MW</v>
      </c>
      <c r="J12" s="714">
        <f>'Cost Data'!J12</f>
        <v>0</v>
      </c>
      <c r="K12" s="1087">
        <f>'Cost Data'!K12</f>
        <v>0</v>
      </c>
      <c r="L12" s="1055">
        <f t="shared" ref="L12:L19" si="0">H12*E12*G12</f>
        <v>0</v>
      </c>
      <c r="M12" s="799" t="s">
        <v>1111</v>
      </c>
      <c r="O12" s="910"/>
      <c r="P12" s="910"/>
      <c r="R12" s="858"/>
      <c r="S12" s="858"/>
      <c r="T12" s="858"/>
      <c r="U12" s="858"/>
      <c r="V12" s="858"/>
      <c r="W12" s="900"/>
      <c r="X12" s="900"/>
      <c r="Y12" s="900"/>
      <c r="Z12" s="900"/>
      <c r="AA12" s="858"/>
      <c r="AB12" s="858"/>
      <c r="AC12" s="858"/>
      <c r="AD12" s="858"/>
      <c r="AE12" s="858"/>
      <c r="AF12" s="858"/>
      <c r="AG12" s="858"/>
      <c r="AH12" s="858"/>
      <c r="AI12" s="858"/>
      <c r="AJ12" s="858"/>
      <c r="AK12" s="858"/>
      <c r="AL12" s="858"/>
      <c r="AM12" s="858"/>
      <c r="AN12" s="858"/>
      <c r="AO12" s="858"/>
      <c r="AP12" s="858"/>
      <c r="AQ12" s="858"/>
      <c r="AR12" s="858"/>
      <c r="AS12" s="858"/>
      <c r="AT12" s="858"/>
      <c r="AU12" s="858"/>
      <c r="AV12" s="858"/>
      <c r="AW12" s="858"/>
    </row>
    <row r="13" spans="1:49" ht="39" hidden="1" customHeight="1" x14ac:dyDescent="0.75">
      <c r="A13" s="1536"/>
      <c r="B13" s="1438"/>
      <c r="C13" s="897" t="s">
        <v>789</v>
      </c>
      <c r="D13" s="466" t="s">
        <v>725</v>
      </c>
      <c r="E13" s="685"/>
      <c r="F13" s="466" t="s">
        <v>618</v>
      </c>
      <c r="G13" s="836"/>
      <c r="H13" s="714">
        <f>'Cost Data'!H13</f>
        <v>642</v>
      </c>
      <c r="I13" s="1087" t="str">
        <f>'Cost Data'!I13</f>
        <v>$/kW</v>
      </c>
      <c r="J13" s="714">
        <f>'Cost Data'!J13</f>
        <v>0</v>
      </c>
      <c r="K13" s="1087">
        <f>'Cost Data'!K13</f>
        <v>0</v>
      </c>
      <c r="L13" s="1055">
        <f t="shared" si="0"/>
        <v>0</v>
      </c>
      <c r="M13" s="799" t="s">
        <v>1111</v>
      </c>
      <c r="N13" s="858"/>
      <c r="O13" s="858"/>
      <c r="P13" s="858"/>
      <c r="R13" s="858"/>
      <c r="S13" s="858"/>
      <c r="T13" s="858"/>
      <c r="U13" s="858"/>
      <c r="V13" s="858"/>
      <c r="W13" s="900"/>
      <c r="X13" s="900"/>
      <c r="Y13" s="900"/>
      <c r="Z13" s="900"/>
      <c r="AA13" s="858"/>
      <c r="AB13" s="858"/>
      <c r="AC13" s="858"/>
      <c r="AD13" s="858"/>
      <c r="AE13" s="858"/>
      <c r="AF13" s="858"/>
      <c r="AG13" s="858"/>
      <c r="AH13" s="858"/>
      <c r="AI13" s="858"/>
      <c r="AJ13" s="858"/>
      <c r="AK13" s="858"/>
      <c r="AL13" s="858"/>
      <c r="AM13" s="858"/>
      <c r="AN13" s="858"/>
      <c r="AO13" s="858"/>
      <c r="AP13" s="858"/>
      <c r="AQ13" s="858"/>
      <c r="AR13" s="858"/>
      <c r="AS13" s="858"/>
      <c r="AT13" s="858"/>
      <c r="AU13" s="858"/>
      <c r="AV13" s="858"/>
      <c r="AW13" s="858"/>
    </row>
    <row r="14" spans="1:49" ht="39" hidden="1" customHeight="1" x14ac:dyDescent="0.75">
      <c r="A14" s="1536"/>
      <c r="B14" s="1434" t="s">
        <v>608</v>
      </c>
      <c r="C14" s="897" t="s">
        <v>597</v>
      </c>
      <c r="D14" s="466" t="s">
        <v>640</v>
      </c>
      <c r="E14" s="685"/>
      <c r="F14" s="466" t="s">
        <v>616</v>
      </c>
      <c r="G14" s="836"/>
      <c r="H14" s="714">
        <f>'Cost Data'!H14</f>
        <v>865</v>
      </c>
      <c r="I14" s="1087" t="str">
        <f>'Cost Data'!I14</f>
        <v>$/kW</v>
      </c>
      <c r="J14" s="714">
        <f>'Cost Data'!J14</f>
        <v>0</v>
      </c>
      <c r="K14" s="1087">
        <f>'Cost Data'!K14</f>
        <v>0</v>
      </c>
      <c r="L14" s="1055">
        <f t="shared" si="0"/>
        <v>0</v>
      </c>
      <c r="M14" s="799" t="s">
        <v>1111</v>
      </c>
      <c r="N14" s="1537"/>
      <c r="O14" s="1537"/>
      <c r="P14" s="503"/>
      <c r="Q14" s="914"/>
      <c r="R14" s="858"/>
      <c r="S14" s="858"/>
      <c r="T14" s="858"/>
      <c r="U14" s="858"/>
      <c r="V14" s="858"/>
      <c r="W14" s="915"/>
      <c r="X14" s="916"/>
      <c r="Y14" s="900"/>
      <c r="Z14" s="900"/>
      <c r="AA14" s="858"/>
      <c r="AB14" s="858"/>
      <c r="AC14" s="858"/>
      <c r="AD14" s="858"/>
      <c r="AE14" s="858"/>
      <c r="AF14" s="858"/>
      <c r="AG14" s="858"/>
      <c r="AH14" s="858"/>
      <c r="AI14" s="858"/>
      <c r="AJ14" s="858"/>
      <c r="AK14" s="858"/>
      <c r="AL14" s="858"/>
      <c r="AM14" s="858"/>
      <c r="AN14" s="858"/>
      <c r="AO14" s="858"/>
      <c r="AP14" s="858"/>
      <c r="AQ14" s="858"/>
      <c r="AR14" s="858"/>
      <c r="AS14" s="858"/>
      <c r="AT14" s="858"/>
      <c r="AU14" s="858"/>
      <c r="AV14" s="858"/>
      <c r="AW14" s="858"/>
    </row>
    <row r="15" spans="1:49" ht="39" hidden="1" customHeight="1" x14ac:dyDescent="1.35">
      <c r="A15" s="1536"/>
      <c r="B15" s="1434"/>
      <c r="C15" s="897" t="s">
        <v>598</v>
      </c>
      <c r="D15" s="466" t="s">
        <v>640</v>
      </c>
      <c r="E15" s="685"/>
      <c r="F15" s="466" t="s">
        <v>617</v>
      </c>
      <c r="G15" s="836"/>
      <c r="H15" s="714">
        <f>'Cost Data'!H15</f>
        <v>865</v>
      </c>
      <c r="I15" s="1087" t="str">
        <f>'Cost Data'!I15</f>
        <v>$/kW</v>
      </c>
      <c r="J15" s="714">
        <f>'Cost Data'!J15</f>
        <v>0</v>
      </c>
      <c r="K15" s="1087">
        <f>'Cost Data'!K15</f>
        <v>0</v>
      </c>
      <c r="L15" s="1055">
        <f t="shared" si="0"/>
        <v>0</v>
      </c>
      <c r="M15" s="799" t="s">
        <v>1111</v>
      </c>
      <c r="N15" s="1538"/>
      <c r="O15" s="1538"/>
      <c r="P15" s="502"/>
      <c r="Q15" s="917"/>
      <c r="R15" s="858"/>
      <c r="S15" s="858"/>
      <c r="T15" s="858"/>
      <c r="U15" s="858"/>
      <c r="V15" s="858"/>
      <c r="W15" s="918"/>
      <c r="X15" s="918"/>
      <c r="Y15" s="900"/>
      <c r="Z15" s="900"/>
      <c r="AA15" s="858"/>
      <c r="AB15" s="858"/>
      <c r="AC15" s="858"/>
      <c r="AD15" s="858"/>
      <c r="AE15" s="858"/>
      <c r="AF15" s="858"/>
      <c r="AG15" s="858"/>
      <c r="AH15" s="858"/>
      <c r="AI15" s="858"/>
      <c r="AJ15" s="858"/>
      <c r="AK15" s="858"/>
      <c r="AL15" s="858"/>
      <c r="AM15" s="858"/>
      <c r="AN15" s="858"/>
      <c r="AO15" s="858"/>
      <c r="AP15" s="858"/>
      <c r="AQ15" s="858"/>
      <c r="AR15" s="858"/>
      <c r="AS15" s="858"/>
      <c r="AT15" s="858"/>
      <c r="AU15" s="858"/>
      <c r="AV15" s="858"/>
      <c r="AW15" s="858"/>
    </row>
    <row r="16" spans="1:49" ht="39" hidden="1" customHeight="1" x14ac:dyDescent="0.75">
      <c r="A16" s="1536"/>
      <c r="B16" s="1434"/>
      <c r="C16" s="897" t="s">
        <v>599</v>
      </c>
      <c r="D16" s="466" t="s">
        <v>640</v>
      </c>
      <c r="E16" s="685"/>
      <c r="F16" s="466" t="s">
        <v>618</v>
      </c>
      <c r="G16" s="836"/>
      <c r="H16" s="714">
        <f>'Cost Data'!H16</f>
        <v>865</v>
      </c>
      <c r="I16" s="1087" t="str">
        <f>'Cost Data'!I16</f>
        <v>$/kW</v>
      </c>
      <c r="J16" s="714">
        <f>'Cost Data'!J16</f>
        <v>0</v>
      </c>
      <c r="K16" s="1087">
        <f>'Cost Data'!K16</f>
        <v>0</v>
      </c>
      <c r="L16" s="1055">
        <f t="shared" si="0"/>
        <v>0</v>
      </c>
      <c r="M16" s="799" t="s">
        <v>1111</v>
      </c>
      <c r="N16" s="919"/>
      <c r="O16" s="920"/>
      <c r="P16" s="921"/>
      <c r="Q16" s="1542"/>
      <c r="R16" s="858"/>
      <c r="S16" s="858"/>
      <c r="T16" s="858"/>
      <c r="U16" s="858"/>
      <c r="V16" s="858"/>
      <c r="W16" s="1543"/>
      <c r="X16" s="1543"/>
      <c r="Y16" s="900"/>
      <c r="Z16" s="900"/>
      <c r="AA16" s="858"/>
      <c r="AB16" s="858"/>
      <c r="AC16" s="858"/>
      <c r="AD16" s="858"/>
      <c r="AE16" s="858"/>
      <c r="AF16" s="858"/>
      <c r="AG16" s="858"/>
      <c r="AH16" s="858"/>
      <c r="AI16" s="858"/>
      <c r="AJ16" s="858"/>
      <c r="AK16" s="858"/>
      <c r="AL16" s="858"/>
      <c r="AM16" s="858"/>
      <c r="AN16" s="858"/>
      <c r="AO16" s="858"/>
      <c r="AP16" s="858"/>
      <c r="AQ16" s="858"/>
      <c r="AR16" s="858"/>
      <c r="AS16" s="858"/>
      <c r="AT16" s="858"/>
      <c r="AU16" s="858"/>
      <c r="AV16" s="858"/>
      <c r="AW16" s="858"/>
    </row>
    <row r="17" spans="1:49" ht="39" hidden="1" customHeight="1" x14ac:dyDescent="0.75">
      <c r="A17" s="1536"/>
      <c r="B17" s="1434" t="s">
        <v>609</v>
      </c>
      <c r="C17" s="897" t="s">
        <v>600</v>
      </c>
      <c r="D17" s="466" t="s">
        <v>641</v>
      </c>
      <c r="E17" s="685"/>
      <c r="F17" s="466" t="s">
        <v>616</v>
      </c>
      <c r="G17" s="836"/>
      <c r="H17" s="714">
        <f>'Cost Data'!H17</f>
        <v>8425</v>
      </c>
      <c r="I17" s="1087" t="str">
        <f>'Cost Data'!I17</f>
        <v>$/kW</v>
      </c>
      <c r="J17" s="714">
        <f>'Cost Data'!J17</f>
        <v>0</v>
      </c>
      <c r="K17" s="1087">
        <f>'Cost Data'!K17</f>
        <v>0</v>
      </c>
      <c r="L17" s="1055">
        <f t="shared" si="0"/>
        <v>0</v>
      </c>
      <c r="M17" s="799" t="s">
        <v>1112</v>
      </c>
      <c r="N17" s="858"/>
      <c r="O17" s="858"/>
      <c r="P17" s="858"/>
      <c r="Q17" s="1542"/>
      <c r="R17" s="858"/>
      <c r="S17" s="858"/>
      <c r="T17" s="858"/>
      <c r="U17" s="858"/>
      <c r="V17" s="858"/>
      <c r="W17" s="1543"/>
      <c r="X17" s="1543"/>
      <c r="Y17" s="900"/>
      <c r="Z17" s="900"/>
      <c r="AA17" s="858"/>
      <c r="AB17" s="858"/>
      <c r="AC17" s="858"/>
      <c r="AD17" s="858"/>
      <c r="AE17" s="858"/>
      <c r="AF17" s="858"/>
      <c r="AG17" s="858"/>
      <c r="AH17" s="858"/>
      <c r="AI17" s="858"/>
      <c r="AJ17" s="858"/>
      <c r="AK17" s="858"/>
      <c r="AL17" s="858"/>
      <c r="AM17" s="858"/>
      <c r="AN17" s="858"/>
      <c r="AO17" s="858"/>
      <c r="AP17" s="858"/>
      <c r="AQ17" s="858"/>
      <c r="AR17" s="858"/>
      <c r="AS17" s="858"/>
      <c r="AT17" s="858"/>
      <c r="AU17" s="858"/>
      <c r="AV17" s="858"/>
      <c r="AW17" s="858"/>
    </row>
    <row r="18" spans="1:49" s="318" customFormat="1" ht="39" hidden="1" customHeight="1" x14ac:dyDescent="0.75">
      <c r="A18" s="1536"/>
      <c r="B18" s="1434"/>
      <c r="C18" s="897" t="s">
        <v>601</v>
      </c>
      <c r="D18" s="466" t="s">
        <v>641</v>
      </c>
      <c r="E18" s="685"/>
      <c r="F18" s="466" t="s">
        <v>617</v>
      </c>
      <c r="G18" s="836"/>
      <c r="H18" s="714">
        <f>'Cost Data'!H18</f>
        <v>6327</v>
      </c>
      <c r="I18" s="1087" t="str">
        <f>'Cost Data'!I18</f>
        <v>$/kW</v>
      </c>
      <c r="J18" s="714">
        <f>'Cost Data'!J18</f>
        <v>0</v>
      </c>
      <c r="K18" s="1087">
        <f>'Cost Data'!K18</f>
        <v>0</v>
      </c>
      <c r="L18" s="1055">
        <f t="shared" si="0"/>
        <v>0</v>
      </c>
      <c r="M18" s="799" t="s">
        <v>1112</v>
      </c>
      <c r="N18" s="1538"/>
      <c r="O18" s="1538"/>
      <c r="P18" s="858"/>
      <c r="R18" s="858"/>
      <c r="S18" s="858"/>
      <c r="W18" s="829"/>
      <c r="X18" s="829"/>
      <c r="Y18" s="829"/>
      <c r="Z18" s="829"/>
    </row>
    <row r="19" spans="1:49" ht="39" hidden="1" customHeight="1" x14ac:dyDescent="0.75">
      <c r="A19" s="1536"/>
      <c r="B19" s="1434"/>
      <c r="C19" s="897" t="s">
        <v>602</v>
      </c>
      <c r="D19" s="466" t="s">
        <v>641</v>
      </c>
      <c r="E19" s="685"/>
      <c r="F19" s="466" t="s">
        <v>618</v>
      </c>
      <c r="G19" s="836"/>
      <c r="H19" s="714">
        <f>'Cost Data'!H19</f>
        <v>6327</v>
      </c>
      <c r="I19" s="1087" t="str">
        <f>'Cost Data'!I19</f>
        <v>$/kW</v>
      </c>
      <c r="J19" s="714">
        <f>'Cost Data'!J19</f>
        <v>0</v>
      </c>
      <c r="K19" s="1087">
        <f>'Cost Data'!K19</f>
        <v>0</v>
      </c>
      <c r="L19" s="1055">
        <f t="shared" si="0"/>
        <v>0</v>
      </c>
      <c r="M19" s="799" t="s">
        <v>1112</v>
      </c>
      <c r="N19" s="1539"/>
      <c r="O19" s="1539"/>
      <c r="P19" s="858"/>
      <c r="R19" s="858"/>
      <c r="S19" s="858"/>
      <c r="T19" s="858"/>
      <c r="U19" s="858"/>
      <c r="V19" s="858"/>
      <c r="W19" s="900"/>
      <c r="X19" s="900"/>
      <c r="Y19" s="900"/>
      <c r="Z19" s="900"/>
      <c r="AA19" s="858"/>
      <c r="AB19" s="858"/>
      <c r="AC19" s="858"/>
      <c r="AD19" s="858"/>
      <c r="AE19" s="858"/>
      <c r="AF19" s="858"/>
      <c r="AG19" s="858"/>
      <c r="AH19" s="858"/>
      <c r="AI19" s="858"/>
      <c r="AJ19" s="858"/>
      <c r="AK19" s="858"/>
      <c r="AL19" s="858"/>
      <c r="AM19" s="858"/>
      <c r="AN19" s="858"/>
      <c r="AO19" s="858"/>
      <c r="AP19" s="858"/>
      <c r="AQ19" s="858"/>
      <c r="AR19" s="858"/>
      <c r="AS19" s="858"/>
      <c r="AT19" s="858"/>
      <c r="AU19" s="858"/>
      <c r="AV19" s="858"/>
      <c r="AW19" s="858"/>
    </row>
    <row r="20" spans="1:49" ht="39" hidden="1" customHeight="1" x14ac:dyDescent="0.75">
      <c r="A20" s="1536"/>
      <c r="B20" s="1434" t="s">
        <v>610</v>
      </c>
      <c r="C20" s="897" t="s">
        <v>603</v>
      </c>
      <c r="D20" s="466" t="s">
        <v>616</v>
      </c>
      <c r="E20" s="685"/>
      <c r="F20" s="466"/>
      <c r="G20" s="836"/>
      <c r="H20" s="714">
        <f>'Cost Data'!H20</f>
        <v>0</v>
      </c>
      <c r="I20" s="1087">
        <f>'Cost Data'!I20</f>
        <v>0</v>
      </c>
      <c r="J20" s="714">
        <f>'Cost Data'!J20</f>
        <v>0</v>
      </c>
      <c r="K20" s="1087">
        <f>'Cost Data'!K20</f>
        <v>0</v>
      </c>
      <c r="L20" s="1055"/>
      <c r="M20" s="466"/>
      <c r="N20" s="1539"/>
      <c r="O20" s="1539"/>
      <c r="P20" s="858"/>
      <c r="R20" s="858"/>
      <c r="S20" s="858"/>
      <c r="T20" s="858"/>
      <c r="U20" s="858"/>
      <c r="V20" s="858"/>
      <c r="W20" s="900"/>
      <c r="X20" s="900"/>
      <c r="Y20" s="900"/>
      <c r="Z20" s="900"/>
      <c r="AA20" s="858"/>
      <c r="AB20" s="858"/>
      <c r="AC20" s="858"/>
      <c r="AD20" s="858"/>
      <c r="AE20" s="858"/>
      <c r="AF20" s="858"/>
      <c r="AG20" s="858"/>
      <c r="AH20" s="858"/>
      <c r="AI20" s="858"/>
      <c r="AJ20" s="858"/>
      <c r="AK20" s="858"/>
      <c r="AL20" s="858"/>
      <c r="AM20" s="858"/>
      <c r="AN20" s="858"/>
      <c r="AO20" s="858"/>
      <c r="AP20" s="858"/>
      <c r="AQ20" s="858"/>
      <c r="AR20" s="858"/>
      <c r="AS20" s="858"/>
      <c r="AT20" s="858"/>
      <c r="AU20" s="858"/>
      <c r="AV20" s="858"/>
      <c r="AW20" s="858"/>
    </row>
    <row r="21" spans="1:49" ht="39" hidden="1" customHeight="1" x14ac:dyDescent="0.75">
      <c r="A21" s="1536"/>
      <c r="B21" s="1434"/>
      <c r="C21" s="897" t="s">
        <v>604</v>
      </c>
      <c r="D21" s="466" t="s">
        <v>617</v>
      </c>
      <c r="E21" s="685"/>
      <c r="F21" s="466"/>
      <c r="G21" s="836"/>
      <c r="H21" s="714">
        <f>'Cost Data'!H21</f>
        <v>0</v>
      </c>
      <c r="I21" s="1087">
        <f>'Cost Data'!I21</f>
        <v>0</v>
      </c>
      <c r="J21" s="714">
        <f>'Cost Data'!J21</f>
        <v>0</v>
      </c>
      <c r="K21" s="1087">
        <f>'Cost Data'!K21</f>
        <v>0</v>
      </c>
      <c r="L21" s="1055"/>
      <c r="M21" s="466"/>
      <c r="N21" s="1539"/>
      <c r="O21" s="1539"/>
      <c r="P21" s="858"/>
      <c r="R21" s="858"/>
      <c r="S21" s="858"/>
      <c r="T21" s="858"/>
      <c r="U21" s="858"/>
      <c r="V21" s="858"/>
      <c r="W21" s="900"/>
      <c r="X21" s="900"/>
      <c r="Y21" s="900"/>
      <c r="Z21" s="900"/>
      <c r="AA21" s="858"/>
      <c r="AB21" s="858"/>
      <c r="AC21" s="858"/>
      <c r="AD21" s="858"/>
      <c r="AE21" s="858"/>
      <c r="AF21" s="858"/>
      <c r="AG21" s="858"/>
      <c r="AH21" s="858"/>
      <c r="AI21" s="858"/>
      <c r="AJ21" s="858"/>
      <c r="AK21" s="858"/>
      <c r="AL21" s="858"/>
      <c r="AM21" s="858"/>
      <c r="AN21" s="858"/>
      <c r="AO21" s="858"/>
      <c r="AP21" s="858"/>
      <c r="AQ21" s="858"/>
      <c r="AR21" s="858"/>
      <c r="AS21" s="858"/>
      <c r="AT21" s="858"/>
      <c r="AU21" s="858"/>
      <c r="AV21" s="858"/>
      <c r="AW21" s="858"/>
    </row>
    <row r="22" spans="1:49" ht="39" hidden="1" customHeight="1" x14ac:dyDescent="0.75">
      <c r="A22" s="1536"/>
      <c r="B22" s="1434"/>
      <c r="C22" s="897" t="s">
        <v>605</v>
      </c>
      <c r="D22" s="466" t="s">
        <v>618</v>
      </c>
      <c r="E22" s="685"/>
      <c r="F22" s="466"/>
      <c r="G22" s="836"/>
      <c r="H22" s="714">
        <f>'Cost Data'!H22</f>
        <v>0</v>
      </c>
      <c r="I22" s="1087">
        <f>'Cost Data'!I22</f>
        <v>0</v>
      </c>
      <c r="J22" s="714">
        <f>'Cost Data'!J22</f>
        <v>0</v>
      </c>
      <c r="K22" s="1087">
        <f>'Cost Data'!K22</f>
        <v>0</v>
      </c>
      <c r="L22" s="1055"/>
      <c r="M22" s="466"/>
      <c r="N22" s="1539"/>
      <c r="O22" s="1539"/>
      <c r="P22" s="858"/>
      <c r="R22" s="858"/>
      <c r="S22" s="858"/>
      <c r="T22" s="858"/>
      <c r="U22" s="858"/>
      <c r="V22" s="858"/>
      <c r="W22" s="900"/>
      <c r="X22" s="900"/>
      <c r="Y22" s="900"/>
      <c r="Z22" s="900"/>
      <c r="AA22" s="858"/>
      <c r="AB22" s="858"/>
      <c r="AC22" s="858"/>
      <c r="AD22" s="858"/>
      <c r="AE22" s="858"/>
      <c r="AF22" s="858"/>
      <c r="AG22" s="858"/>
      <c r="AH22" s="858"/>
      <c r="AI22" s="858"/>
      <c r="AJ22" s="858"/>
      <c r="AK22" s="858"/>
      <c r="AL22" s="858"/>
      <c r="AM22" s="858"/>
      <c r="AN22" s="858"/>
      <c r="AO22" s="858"/>
      <c r="AP22" s="858"/>
      <c r="AQ22" s="858"/>
      <c r="AR22" s="858"/>
      <c r="AS22" s="858"/>
      <c r="AT22" s="858"/>
      <c r="AU22" s="858"/>
      <c r="AV22" s="858"/>
      <c r="AW22" s="858"/>
    </row>
    <row r="23" spans="1:49" ht="39" hidden="1" customHeight="1" x14ac:dyDescent="0.75">
      <c r="A23" s="1536"/>
      <c r="B23" s="1438" t="s">
        <v>788</v>
      </c>
      <c r="C23" s="897" t="s">
        <v>861</v>
      </c>
      <c r="D23" s="466" t="s">
        <v>786</v>
      </c>
      <c r="E23" s="685"/>
      <c r="F23" s="466" t="s">
        <v>630</v>
      </c>
      <c r="G23" s="836"/>
      <c r="H23" s="714">
        <f>'Cost Data'!H23</f>
        <v>3270000</v>
      </c>
      <c r="I23" s="1087" t="str">
        <f>'Cost Data'!I23</f>
        <v>$/MW</v>
      </c>
      <c r="J23" s="714">
        <f>'Cost Data'!J23</f>
        <v>0</v>
      </c>
      <c r="K23" s="1087">
        <f>'Cost Data'!K23</f>
        <v>0</v>
      </c>
      <c r="L23" s="1055">
        <f>H23*E23*G23</f>
        <v>0</v>
      </c>
      <c r="M23" s="799" t="s">
        <v>1112</v>
      </c>
      <c r="N23" s="1539"/>
      <c r="O23" s="1539"/>
      <c r="P23" s="858"/>
      <c r="R23" s="858"/>
      <c r="S23" s="858"/>
      <c r="T23" s="858"/>
      <c r="U23" s="858"/>
      <c r="V23" s="858"/>
      <c r="W23" s="900"/>
      <c r="X23" s="900"/>
      <c r="Y23" s="900"/>
      <c r="Z23" s="900"/>
      <c r="AA23" s="858"/>
      <c r="AB23" s="858"/>
      <c r="AC23" s="858"/>
      <c r="AD23" s="858"/>
      <c r="AE23" s="858"/>
      <c r="AF23" s="858"/>
      <c r="AG23" s="858"/>
      <c r="AH23" s="858"/>
      <c r="AI23" s="858"/>
      <c r="AJ23" s="858"/>
      <c r="AK23" s="858"/>
      <c r="AL23" s="858"/>
      <c r="AM23" s="858"/>
      <c r="AN23" s="858"/>
      <c r="AO23" s="858"/>
      <c r="AP23" s="858"/>
      <c r="AQ23" s="858"/>
      <c r="AR23" s="858"/>
      <c r="AS23" s="858"/>
      <c r="AT23" s="858"/>
      <c r="AU23" s="858"/>
      <c r="AV23" s="858"/>
      <c r="AW23" s="858"/>
    </row>
    <row r="24" spans="1:49" ht="39" hidden="1" customHeight="1" x14ac:dyDescent="0.75">
      <c r="A24" s="1536"/>
      <c r="B24" s="1438"/>
      <c r="C24" s="897" t="s">
        <v>825</v>
      </c>
      <c r="D24" s="466" t="s">
        <v>787</v>
      </c>
      <c r="E24" s="685"/>
      <c r="F24" s="466" t="s">
        <v>785</v>
      </c>
      <c r="G24" s="836"/>
      <c r="H24" s="714">
        <f>'Cost Data'!H24</f>
        <v>473000</v>
      </c>
      <c r="I24" s="1087" t="str">
        <f>'Cost Data'!I24</f>
        <v>$/MW</v>
      </c>
      <c r="J24" s="714">
        <f>'Cost Data'!J24</f>
        <v>0</v>
      </c>
      <c r="K24" s="1087">
        <f>'Cost Data'!K24</f>
        <v>0</v>
      </c>
      <c r="L24" s="1055">
        <f>H24*E24*G24</f>
        <v>0</v>
      </c>
      <c r="M24" s="799" t="s">
        <v>1111</v>
      </c>
      <c r="N24" s="1539"/>
      <c r="O24" s="1539"/>
      <c r="P24" s="858"/>
      <c r="R24" s="858"/>
      <c r="S24" s="858"/>
      <c r="T24" s="858"/>
      <c r="U24" s="858"/>
      <c r="V24" s="858"/>
      <c r="W24" s="900"/>
      <c r="X24" s="900"/>
      <c r="Y24" s="900"/>
      <c r="Z24" s="900"/>
      <c r="AA24" s="858"/>
      <c r="AB24" s="858"/>
      <c r="AC24" s="858"/>
      <c r="AD24" s="858"/>
      <c r="AE24" s="858"/>
      <c r="AF24" s="858"/>
      <c r="AG24" s="858"/>
      <c r="AH24" s="858"/>
      <c r="AI24" s="858"/>
      <c r="AJ24" s="858"/>
      <c r="AK24" s="858"/>
      <c r="AL24" s="858"/>
      <c r="AM24" s="858"/>
      <c r="AN24" s="858"/>
      <c r="AO24" s="858"/>
      <c r="AP24" s="858"/>
      <c r="AQ24" s="858"/>
      <c r="AR24" s="858"/>
      <c r="AS24" s="858"/>
      <c r="AT24" s="858"/>
      <c r="AU24" s="858"/>
      <c r="AV24" s="858"/>
      <c r="AW24" s="858"/>
    </row>
    <row r="25" spans="1:49" ht="39" hidden="1" customHeight="1" x14ac:dyDescent="0.75">
      <c r="A25" s="1536"/>
      <c r="B25" s="1438"/>
      <c r="C25" s="897" t="s">
        <v>823</v>
      </c>
      <c r="D25" s="466" t="s">
        <v>851</v>
      </c>
      <c r="E25" s="685"/>
      <c r="F25" s="466" t="s">
        <v>852</v>
      </c>
      <c r="G25" s="836"/>
      <c r="H25" s="714">
        <f>'Cost Data'!H25</f>
        <v>257400</v>
      </c>
      <c r="I25" s="1087" t="str">
        <f>'Cost Data'!I25</f>
        <v>$/MW</v>
      </c>
      <c r="J25" s="714">
        <f>'Cost Data'!J25</f>
        <v>0</v>
      </c>
      <c r="K25" s="1087">
        <f>'Cost Data'!K25</f>
        <v>0</v>
      </c>
      <c r="L25" s="1055">
        <f>H25*E25*G25</f>
        <v>0</v>
      </c>
      <c r="M25" s="799" t="s">
        <v>1114</v>
      </c>
      <c r="N25" s="1539"/>
      <c r="O25" s="1539"/>
      <c r="P25" s="858"/>
      <c r="R25" s="858"/>
      <c r="S25" s="858"/>
      <c r="T25" s="858"/>
      <c r="U25" s="858"/>
      <c r="V25" s="858"/>
      <c r="W25" s="900"/>
      <c r="X25" s="900"/>
      <c r="Y25" s="900"/>
      <c r="Z25" s="900"/>
      <c r="AA25" s="858"/>
      <c r="AB25" s="858"/>
      <c r="AC25" s="858"/>
      <c r="AD25" s="858"/>
      <c r="AE25" s="858"/>
      <c r="AF25" s="858"/>
      <c r="AG25" s="858"/>
      <c r="AH25" s="858"/>
      <c r="AI25" s="858"/>
      <c r="AJ25" s="858"/>
      <c r="AK25" s="858"/>
      <c r="AL25" s="858"/>
      <c r="AM25" s="858"/>
      <c r="AN25" s="858"/>
      <c r="AO25" s="858"/>
      <c r="AP25" s="858"/>
      <c r="AQ25" s="858"/>
      <c r="AR25" s="858"/>
      <c r="AS25" s="858"/>
      <c r="AT25" s="858"/>
      <c r="AU25" s="858"/>
      <c r="AV25" s="858"/>
      <c r="AW25" s="858"/>
    </row>
    <row r="26" spans="1:49" ht="39" hidden="1" customHeight="1" x14ac:dyDescent="0.75">
      <c r="A26" s="1536"/>
      <c r="B26" s="1438" t="s">
        <v>822</v>
      </c>
      <c r="C26" s="897" t="s">
        <v>862</v>
      </c>
      <c r="D26" s="466" t="s">
        <v>853</v>
      </c>
      <c r="E26" s="685"/>
      <c r="F26" s="466" t="s">
        <v>630</v>
      </c>
      <c r="G26" s="836"/>
      <c r="H26" s="714">
        <f>'Cost Data'!H26</f>
        <v>1750000</v>
      </c>
      <c r="I26" s="1087" t="str">
        <f>'Cost Data'!I26</f>
        <v>$/MW</v>
      </c>
      <c r="J26" s="714">
        <f>'Cost Data'!J26</f>
        <v>0</v>
      </c>
      <c r="K26" s="1087">
        <f>'Cost Data'!K26</f>
        <v>0</v>
      </c>
      <c r="L26" s="1055">
        <f>H26*E26*G26</f>
        <v>0</v>
      </c>
      <c r="M26" s="799" t="s">
        <v>1112</v>
      </c>
      <c r="N26" s="1539"/>
      <c r="O26" s="1539"/>
      <c r="P26" s="858"/>
      <c r="R26" s="858"/>
      <c r="S26" s="858"/>
      <c r="T26" s="858"/>
      <c r="U26" s="858"/>
      <c r="V26" s="858"/>
      <c r="W26" s="900"/>
      <c r="X26" s="900"/>
      <c r="Y26" s="900"/>
      <c r="Z26" s="900"/>
      <c r="AA26" s="858"/>
      <c r="AB26" s="858"/>
      <c r="AC26" s="858"/>
      <c r="AD26" s="858"/>
      <c r="AE26" s="858"/>
      <c r="AF26" s="858"/>
      <c r="AG26" s="858"/>
      <c r="AH26" s="858"/>
      <c r="AI26" s="858"/>
      <c r="AJ26" s="858"/>
      <c r="AK26" s="858"/>
      <c r="AL26" s="858"/>
      <c r="AM26" s="858"/>
      <c r="AN26" s="858"/>
      <c r="AO26" s="858"/>
      <c r="AP26" s="858"/>
      <c r="AQ26" s="858"/>
      <c r="AR26" s="858"/>
      <c r="AS26" s="858"/>
      <c r="AT26" s="858"/>
      <c r="AU26" s="858"/>
      <c r="AV26" s="858"/>
      <c r="AW26" s="858"/>
    </row>
    <row r="27" spans="1:49" ht="39" hidden="1" customHeight="1" thickBot="1" x14ac:dyDescent="0.9">
      <c r="A27" s="1536"/>
      <c r="B27" s="1438"/>
      <c r="C27" s="897" t="s">
        <v>824</v>
      </c>
      <c r="D27" s="466" t="s">
        <v>854</v>
      </c>
      <c r="E27" s="685"/>
      <c r="F27" s="466" t="s">
        <v>785</v>
      </c>
      <c r="G27" s="836"/>
      <c r="H27" s="714">
        <f>'Cost Data'!H27</f>
        <v>467000</v>
      </c>
      <c r="I27" s="1087" t="str">
        <f>'Cost Data'!I27</f>
        <v>$/MW</v>
      </c>
      <c r="J27" s="714">
        <f>'Cost Data'!J27</f>
        <v>0</v>
      </c>
      <c r="K27" s="1087">
        <f>'Cost Data'!K27</f>
        <v>0</v>
      </c>
      <c r="L27" s="1055">
        <f>H27*E27*G27</f>
        <v>0</v>
      </c>
      <c r="M27" s="799" t="s">
        <v>1111</v>
      </c>
      <c r="N27" s="1539"/>
      <c r="O27" s="1539"/>
      <c r="P27" s="858"/>
      <c r="R27" s="858"/>
      <c r="S27" s="858"/>
      <c r="T27" s="858"/>
      <c r="U27" s="858"/>
      <c r="V27" s="858"/>
      <c r="W27" s="900"/>
      <c r="X27" s="900"/>
      <c r="Y27" s="900"/>
      <c r="Z27" s="900"/>
      <c r="AA27" s="858"/>
      <c r="AB27" s="858"/>
      <c r="AC27" s="858"/>
      <c r="AD27" s="858"/>
      <c r="AE27" s="858"/>
      <c r="AF27" s="858"/>
      <c r="AG27" s="858"/>
      <c r="AH27" s="858"/>
      <c r="AI27" s="858"/>
      <c r="AJ27" s="858"/>
      <c r="AK27" s="858"/>
      <c r="AL27" s="858"/>
      <c r="AM27" s="858"/>
      <c r="AN27" s="858"/>
      <c r="AO27" s="858"/>
      <c r="AP27" s="858"/>
      <c r="AQ27" s="858"/>
      <c r="AR27" s="858"/>
      <c r="AS27" s="858"/>
      <c r="AT27" s="858"/>
      <c r="AU27" s="858"/>
      <c r="AV27" s="858"/>
      <c r="AW27" s="858"/>
    </row>
    <row r="28" spans="1:49" s="860" customFormat="1" ht="39" hidden="1" customHeight="1" thickBot="1" x14ac:dyDescent="0.9">
      <c r="A28" s="1069"/>
      <c r="B28" s="1070"/>
      <c r="C28" s="1071"/>
      <c r="D28" s="1072"/>
      <c r="E28" s="1073"/>
      <c r="F28" s="1072"/>
      <c r="G28" s="1074"/>
      <c r="H28" s="753">
        <f>'Cost Data'!H28</f>
        <v>0</v>
      </c>
      <c r="I28" s="1089">
        <f>'Cost Data'!I28</f>
        <v>0</v>
      </c>
      <c r="J28" s="753">
        <f>'Cost Data'!J28</f>
        <v>0</v>
      </c>
      <c r="K28" s="1089">
        <f>'Cost Data'!K28</f>
        <v>0</v>
      </c>
      <c r="L28" s="1127"/>
      <c r="M28" s="808"/>
      <c r="N28" s="748"/>
      <c r="O28" s="748"/>
      <c r="R28" s="858"/>
      <c r="S28" s="858"/>
      <c r="T28" s="858"/>
      <c r="U28" s="858"/>
      <c r="V28" s="858"/>
      <c r="W28" s="913"/>
      <c r="X28" s="913"/>
      <c r="Y28" s="913"/>
      <c r="Z28" s="913"/>
    </row>
    <row r="29" spans="1:49" ht="39" customHeight="1" x14ac:dyDescent="0.9">
      <c r="A29" s="1416" t="s">
        <v>530</v>
      </c>
      <c r="B29" s="1545" t="s">
        <v>1323</v>
      </c>
      <c r="C29" s="1058" t="s">
        <v>656</v>
      </c>
      <c r="D29" s="686" t="s">
        <v>1201</v>
      </c>
      <c r="E29" s="1059">
        <v>5474</v>
      </c>
      <c r="F29" s="686" t="s">
        <v>1297</v>
      </c>
      <c r="G29" s="1246" t="e">
        <f>'Summary PCAP Table'!O23</f>
        <v>#REF!</v>
      </c>
      <c r="H29" s="774">
        <f>'Cost Data'!H29</f>
        <v>4782</v>
      </c>
      <c r="I29" s="1090" t="str">
        <f>'Cost Data'!I29</f>
        <v>$/SF building</v>
      </c>
      <c r="J29" s="774">
        <f>'Cost Data'!J29</f>
        <v>3188</v>
      </c>
      <c r="K29" s="1090" t="str">
        <f>'Cost Data'!K29</f>
        <v>$/MF unit</v>
      </c>
      <c r="L29" s="1128" t="e">
        <f t="shared" ref="L29:L34" si="1">H29*E29+G29*J29</f>
        <v>#REF!</v>
      </c>
      <c r="M29" s="1076" t="s">
        <v>1159</v>
      </c>
      <c r="N29" s="841" t="s">
        <v>1212</v>
      </c>
      <c r="O29" s="907">
        <f>U36</f>
        <v>1672.0279720279721</v>
      </c>
      <c r="R29" s="858"/>
      <c r="S29" s="896" t="s">
        <v>1205</v>
      </c>
      <c r="T29" s="896" t="s">
        <v>1206</v>
      </c>
      <c r="U29" s="896" t="s">
        <v>1207</v>
      </c>
      <c r="V29" s="858"/>
      <c r="W29" s="922" t="s">
        <v>1146</v>
      </c>
      <c r="X29" s="900" t="s">
        <v>1147</v>
      </c>
      <c r="Y29" s="900" t="s">
        <v>1148</v>
      </c>
      <c r="Z29" s="900"/>
      <c r="AA29" s="858"/>
      <c r="AB29" s="858"/>
      <c r="AC29" s="858"/>
      <c r="AD29" s="858"/>
      <c r="AE29" s="858"/>
      <c r="AF29" s="858"/>
      <c r="AG29" s="858"/>
      <c r="AH29" s="858"/>
      <c r="AI29" s="858"/>
      <c r="AJ29" s="858"/>
      <c r="AK29" s="858"/>
      <c r="AL29" s="858"/>
      <c r="AM29" s="858"/>
      <c r="AN29" s="858"/>
      <c r="AO29" s="858"/>
      <c r="AP29" s="858"/>
      <c r="AQ29" s="858"/>
      <c r="AR29" s="858"/>
      <c r="AS29" s="858"/>
      <c r="AT29" s="858"/>
      <c r="AU29" s="858"/>
      <c r="AV29" s="858"/>
      <c r="AW29" s="858"/>
    </row>
    <row r="30" spans="1:49" ht="39" customHeight="1" x14ac:dyDescent="1">
      <c r="A30" s="1418"/>
      <c r="B30" s="1546"/>
      <c r="C30" s="897" t="s">
        <v>378</v>
      </c>
      <c r="D30" s="466" t="s">
        <v>1201</v>
      </c>
      <c r="E30" s="836">
        <v>5474</v>
      </c>
      <c r="F30" s="466" t="s">
        <v>1297</v>
      </c>
      <c r="G30" s="1247" t="e">
        <f>'Summary PCAP Table'!O22</f>
        <v>#REF!</v>
      </c>
      <c r="H30" s="714">
        <f>'Cost Data'!H30</f>
        <v>11422</v>
      </c>
      <c r="I30" s="1087" t="str">
        <f>'Cost Data'!I30</f>
        <v>$/SF building</v>
      </c>
      <c r="J30" s="714">
        <f>'Cost Data'!J30</f>
        <v>11422</v>
      </c>
      <c r="K30" s="1087" t="str">
        <f>'Cost Data'!K30</f>
        <v>$/MF unit</v>
      </c>
      <c r="L30" s="1055" t="e">
        <f>H30*E30+G30*J30</f>
        <v>#REF!</v>
      </c>
      <c r="M30" s="1077" t="s">
        <v>1159</v>
      </c>
      <c r="R30" s="858"/>
      <c r="S30" s="902" t="s">
        <v>1202</v>
      </c>
      <c r="T30" s="903">
        <v>1903</v>
      </c>
      <c r="U30" s="904">
        <v>1.1399999999999999</v>
      </c>
      <c r="V30" s="858"/>
      <c r="W30" s="900"/>
      <c r="X30" s="900"/>
      <c r="Y30" s="900"/>
      <c r="Z30" s="900"/>
      <c r="AA30" s="858"/>
      <c r="AB30" s="858"/>
      <c r="AC30" s="858"/>
      <c r="AD30" s="858"/>
      <c r="AE30" s="858"/>
      <c r="AF30" s="858"/>
      <c r="AG30" s="858"/>
      <c r="AH30" s="858"/>
      <c r="AI30" s="858"/>
      <c r="AJ30" s="858"/>
      <c r="AK30" s="858"/>
      <c r="AL30" s="858"/>
      <c r="AM30" s="858"/>
      <c r="AN30" s="858"/>
      <c r="AO30" s="858"/>
      <c r="AP30" s="858"/>
      <c r="AQ30" s="858"/>
      <c r="AR30" s="858"/>
      <c r="AS30" s="858"/>
      <c r="AT30" s="858"/>
      <c r="AU30" s="858"/>
      <c r="AV30" s="858"/>
      <c r="AW30" s="858"/>
    </row>
    <row r="31" spans="1:49" ht="39" customHeight="1" x14ac:dyDescent="0.75">
      <c r="A31" s="1418"/>
      <c r="B31" s="1546"/>
      <c r="C31" s="1049" t="s">
        <v>1195</v>
      </c>
      <c r="D31" s="466" t="s">
        <v>1201</v>
      </c>
      <c r="E31" s="836">
        <v>5474</v>
      </c>
      <c r="F31" s="466" t="s">
        <v>1297</v>
      </c>
      <c r="G31" s="1247" t="e">
        <f>'Summary PCAP Table'!O20</f>
        <v>#REF!</v>
      </c>
      <c r="H31" s="714">
        <f>'Cost Data'!H38</f>
        <v>20400</v>
      </c>
      <c r="I31" s="1087" t="str">
        <f>'Cost Data'!I38</f>
        <v>$/SF building</v>
      </c>
      <c r="J31" s="714">
        <f>'Cost Data'!J38</f>
        <v>20400</v>
      </c>
      <c r="K31" s="1087" t="str">
        <f>'Cost Data'!K38</f>
        <v>$/MF unit</v>
      </c>
      <c r="L31" s="1055" t="e">
        <f t="shared" si="1"/>
        <v>#REF!</v>
      </c>
      <c r="M31" s="1077" t="s">
        <v>1156</v>
      </c>
      <c r="N31" s="1539"/>
      <c r="O31" s="1539"/>
      <c r="P31" s="858"/>
      <c r="R31" s="858"/>
      <c r="S31" s="858"/>
      <c r="T31" s="858"/>
      <c r="U31" s="858"/>
      <c r="V31" s="858"/>
      <c r="W31" s="858"/>
      <c r="X31" s="858"/>
      <c r="Y31" s="858"/>
      <c r="Z31" s="858"/>
      <c r="AA31" s="858"/>
      <c r="AB31" s="858"/>
      <c r="AC31" s="858"/>
      <c r="AD31" s="858"/>
      <c r="AE31" s="858"/>
      <c r="AF31" s="858"/>
      <c r="AG31" s="858"/>
      <c r="AH31" s="858"/>
      <c r="AI31" s="858"/>
      <c r="AJ31" s="858"/>
      <c r="AK31" s="858"/>
      <c r="AL31" s="858"/>
      <c r="AM31" s="858"/>
      <c r="AN31" s="858"/>
      <c r="AO31" s="858"/>
      <c r="AP31" s="858"/>
      <c r="AQ31" s="858"/>
      <c r="AR31" s="858"/>
      <c r="AS31" s="858"/>
      <c r="AT31" s="858"/>
      <c r="AU31" s="858"/>
      <c r="AV31" s="858"/>
      <c r="AW31" s="858"/>
    </row>
    <row r="32" spans="1:49" ht="147" customHeight="1" x14ac:dyDescent="1">
      <c r="A32" s="1418"/>
      <c r="B32" s="1546"/>
      <c r="C32" s="897" t="s">
        <v>393</v>
      </c>
      <c r="D32" s="466" t="s">
        <v>1201</v>
      </c>
      <c r="E32" s="685">
        <v>9124</v>
      </c>
      <c r="F32" s="1249" t="s">
        <v>1297</v>
      </c>
      <c r="G32" s="1046" t="e">
        <f>'Summary PCAP Table'!O25</f>
        <v>#REF!</v>
      </c>
      <c r="H32" s="714">
        <f>'Cost Data'!H31</f>
        <v>143.38999999999999</v>
      </c>
      <c r="I32" s="1087" t="str">
        <f>'Cost Data'!I31</f>
        <v>$/SF building</v>
      </c>
      <c r="J32" s="714">
        <f>'Cost Data'!J31</f>
        <v>143.38999999999999</v>
      </c>
      <c r="K32" s="1087" t="str">
        <f>'Cost Data'!K31</f>
        <v>$/MF unit</v>
      </c>
      <c r="L32" s="1055" t="e">
        <f t="shared" si="1"/>
        <v>#REF!</v>
      </c>
      <c r="M32" s="1077" t="s">
        <v>1159</v>
      </c>
      <c r="N32" s="1531"/>
      <c r="O32" s="1531"/>
      <c r="P32" s="822"/>
      <c r="Q32" s="318"/>
      <c r="R32" s="858"/>
      <c r="S32" s="905" t="s">
        <v>1203</v>
      </c>
      <c r="T32" s="903">
        <v>773</v>
      </c>
      <c r="U32" s="904">
        <v>0.43</v>
      </c>
      <c r="V32" s="858"/>
      <c r="W32" s="838" t="s">
        <v>1135</v>
      </c>
      <c r="X32" s="923" t="s">
        <v>1136</v>
      </c>
      <c r="Y32" s="839">
        <f>40*3</f>
        <v>120</v>
      </c>
      <c r="Z32" s="713" t="s">
        <v>1117</v>
      </c>
      <c r="AA32" s="858"/>
      <c r="AB32" s="858"/>
      <c r="AC32" s="858"/>
      <c r="AD32" s="858"/>
      <c r="AE32" s="858"/>
      <c r="AF32" s="858"/>
      <c r="AG32" s="858"/>
      <c r="AH32" s="858"/>
      <c r="AI32" s="858"/>
      <c r="AJ32" s="858"/>
      <c r="AK32" s="858"/>
      <c r="AL32" s="858"/>
      <c r="AM32" s="858"/>
      <c r="AN32" s="858"/>
      <c r="AO32" s="858"/>
      <c r="AP32" s="858"/>
      <c r="AQ32" s="858"/>
      <c r="AR32" s="858"/>
      <c r="AS32" s="858"/>
      <c r="AT32" s="858"/>
      <c r="AU32" s="858"/>
      <c r="AV32" s="858"/>
      <c r="AW32" s="858"/>
    </row>
    <row r="33" spans="1:51" ht="147" customHeight="1" x14ac:dyDescent="1">
      <c r="A33" s="1418"/>
      <c r="B33" s="1546"/>
      <c r="C33" s="837" t="s">
        <v>1235</v>
      </c>
      <c r="D33" s="466" t="s">
        <v>1201</v>
      </c>
      <c r="E33" s="836">
        <v>5474</v>
      </c>
      <c r="F33" s="466" t="s">
        <v>1297</v>
      </c>
      <c r="G33" s="1247" t="e">
        <f>'Summary PCAP Table'!O26</f>
        <v>#REF!</v>
      </c>
      <c r="H33" s="714">
        <f>'Cost Data'!H32</f>
        <v>435</v>
      </c>
      <c r="I33" s="1087" t="str">
        <f>'Cost Data'!I32</f>
        <v>$/SF building</v>
      </c>
      <c r="J33" s="714">
        <f>'Cost Data'!J32</f>
        <v>435</v>
      </c>
      <c r="K33" s="1087" t="str">
        <f>'Cost Data'!K32</f>
        <v>$/MF unit</v>
      </c>
      <c r="L33" s="1055" t="e">
        <f t="shared" si="1"/>
        <v>#REF!</v>
      </c>
      <c r="M33" s="1077"/>
      <c r="N33" s="710"/>
      <c r="O33" s="710"/>
      <c r="P33" s="822"/>
      <c r="Q33" s="318"/>
      <c r="R33" s="858"/>
      <c r="S33" s="905"/>
      <c r="T33" s="903"/>
      <c r="U33" s="904"/>
      <c r="V33" s="858"/>
      <c r="W33" s="838"/>
      <c r="X33" s="923"/>
      <c r="Y33" s="1041"/>
      <c r="Z33" s="713"/>
      <c r="AA33" s="858"/>
      <c r="AB33" s="858"/>
      <c r="AC33" s="858"/>
      <c r="AD33" s="858"/>
      <c r="AE33" s="858"/>
      <c r="AF33" s="858"/>
      <c r="AG33" s="858"/>
      <c r="AH33" s="858"/>
      <c r="AI33" s="858"/>
      <c r="AJ33" s="858"/>
      <c r="AK33" s="858"/>
      <c r="AL33" s="858"/>
      <c r="AM33" s="858"/>
      <c r="AN33" s="858"/>
      <c r="AO33" s="858"/>
      <c r="AP33" s="858"/>
      <c r="AQ33" s="858"/>
      <c r="AR33" s="858"/>
      <c r="AS33" s="858"/>
      <c r="AT33" s="858"/>
      <c r="AU33" s="858"/>
      <c r="AV33" s="858"/>
      <c r="AW33" s="858"/>
    </row>
    <row r="34" spans="1:51" ht="39" customHeight="1" x14ac:dyDescent="1">
      <c r="A34" s="1418"/>
      <c r="B34" s="1547"/>
      <c r="C34" s="897" t="s">
        <v>379</v>
      </c>
      <c r="D34" s="466" t="s">
        <v>1201</v>
      </c>
      <c r="E34" s="836">
        <v>5474</v>
      </c>
      <c r="F34" s="466" t="s">
        <v>1297</v>
      </c>
      <c r="G34" s="1247" t="e">
        <f>'Summary PCAP Table'!O21</f>
        <v>#REF!</v>
      </c>
      <c r="H34" s="714">
        <f>'Cost Data'!H33</f>
        <v>30</v>
      </c>
      <c r="I34" s="1087" t="str">
        <f>'Cost Data'!I33</f>
        <v>$/SF building</v>
      </c>
      <c r="J34" s="714">
        <f>'Cost Data'!J33</f>
        <v>30</v>
      </c>
      <c r="K34" s="1087" t="str">
        <f>'Cost Data'!K33</f>
        <v>$/MF unit</v>
      </c>
      <c r="L34" s="1055" t="e">
        <f t="shared" si="1"/>
        <v>#REF!</v>
      </c>
      <c r="M34" s="1077" t="s">
        <v>1151</v>
      </c>
      <c r="N34" s="1539" t="s">
        <v>1154</v>
      </c>
      <c r="O34" s="1539"/>
      <c r="P34" s="318">
        <v>6</v>
      </c>
      <c r="R34" s="858"/>
      <c r="S34" s="902" t="s">
        <v>1204</v>
      </c>
      <c r="T34" s="903">
        <v>2106</v>
      </c>
      <c r="U34" s="904">
        <v>1.29</v>
      </c>
      <c r="V34" s="858"/>
      <c r="W34" s="923" t="s">
        <v>1135</v>
      </c>
      <c r="X34" s="923" t="s">
        <v>1137</v>
      </c>
      <c r="Y34" s="701">
        <f>30+75</f>
        <v>105</v>
      </c>
      <c r="Z34" s="713" t="s">
        <v>1117</v>
      </c>
      <c r="AA34" s="858"/>
      <c r="AB34" s="858"/>
      <c r="AC34" s="858"/>
      <c r="AD34" s="858"/>
      <c r="AE34" s="858"/>
      <c r="AF34" s="858"/>
      <c r="AG34" s="858"/>
      <c r="AH34" s="858"/>
      <c r="AI34" s="858"/>
      <c r="AJ34" s="858"/>
      <c r="AK34" s="858"/>
      <c r="AL34" s="858"/>
      <c r="AM34" s="858"/>
      <c r="AN34" s="858"/>
      <c r="AO34" s="858"/>
      <c r="AP34" s="858"/>
      <c r="AQ34" s="858"/>
      <c r="AR34" s="858"/>
      <c r="AS34" s="858"/>
      <c r="AT34" s="858"/>
      <c r="AU34" s="858"/>
      <c r="AV34" s="858"/>
      <c r="AW34" s="858"/>
    </row>
    <row r="35" spans="1:51" ht="39" customHeight="1" x14ac:dyDescent="1">
      <c r="A35" s="1418"/>
      <c r="B35" s="1548" t="s">
        <v>588</v>
      </c>
      <c r="C35" s="897" t="s">
        <v>611</v>
      </c>
      <c r="D35" s="466" t="s">
        <v>618</v>
      </c>
      <c r="E35" s="685">
        <v>459</v>
      </c>
      <c r="F35" s="466"/>
      <c r="G35" s="836"/>
      <c r="H35" s="714">
        <f>'Cost Data'!H34</f>
        <v>14300</v>
      </c>
      <c r="I35" s="1087" t="str">
        <f>'Cost Data'!I34</f>
        <v>$/building</v>
      </c>
      <c r="J35" s="714">
        <f>'Cost Data'!J34</f>
        <v>0</v>
      </c>
      <c r="K35" s="1087">
        <f>'Cost Data'!K34</f>
        <v>0</v>
      </c>
      <c r="L35" s="1055">
        <f>H35*E35</f>
        <v>6563700</v>
      </c>
      <c r="M35" s="1077" t="s">
        <v>1159</v>
      </c>
      <c r="N35" s="1531" t="s">
        <v>1149</v>
      </c>
      <c r="O35" s="1531"/>
      <c r="P35" s="844">
        <f>P36</f>
        <v>5000</v>
      </c>
      <c r="Q35" s="821" t="s">
        <v>1164</v>
      </c>
      <c r="R35" s="858"/>
      <c r="S35" s="833" t="s">
        <v>1208</v>
      </c>
      <c r="T35" s="903">
        <f>SUM(T30:T34)</f>
        <v>4782</v>
      </c>
      <c r="U35" s="904">
        <f>SUM(U30:U34)</f>
        <v>2.86</v>
      </c>
      <c r="V35" s="858"/>
      <c r="W35" s="923"/>
      <c r="X35" s="923"/>
      <c r="Y35" s="772"/>
      <c r="Z35" s="713" t="s">
        <v>1117</v>
      </c>
      <c r="AA35" s="858"/>
      <c r="AB35" s="858"/>
      <c r="AC35" s="858"/>
      <c r="AD35" s="858"/>
      <c r="AE35" s="858"/>
      <c r="AF35" s="858"/>
      <c r="AG35" s="858"/>
      <c r="AH35" s="858"/>
      <c r="AI35" s="858"/>
      <c r="AJ35" s="858"/>
      <c r="AK35" s="858"/>
      <c r="AL35" s="858"/>
      <c r="AM35" s="858"/>
      <c r="AN35" s="858"/>
      <c r="AO35" s="858"/>
      <c r="AP35" s="858"/>
      <c r="AQ35" s="858"/>
      <c r="AR35" s="858"/>
      <c r="AS35" s="858"/>
      <c r="AT35" s="858"/>
      <c r="AU35" s="858"/>
      <c r="AV35" s="858"/>
      <c r="AW35" s="858"/>
    </row>
    <row r="36" spans="1:51" ht="39" customHeight="1" x14ac:dyDescent="1">
      <c r="A36" s="1418"/>
      <c r="B36" s="1546"/>
      <c r="C36" s="897" t="s">
        <v>394</v>
      </c>
      <c r="D36" s="466" t="s">
        <v>618</v>
      </c>
      <c r="E36" s="685">
        <v>765</v>
      </c>
      <c r="F36" s="466"/>
      <c r="G36" s="836"/>
      <c r="H36" s="714">
        <f>'Cost Data'!H35</f>
        <v>5250</v>
      </c>
      <c r="I36" s="1087" t="str">
        <f>'Cost Data'!I35</f>
        <v>$/building</v>
      </c>
      <c r="J36" s="714">
        <f>'Cost Data'!J35</f>
        <v>0</v>
      </c>
      <c r="K36" s="1087">
        <f>'Cost Data'!K35</f>
        <v>0</v>
      </c>
      <c r="L36" s="1055">
        <f>H36*E36</f>
        <v>4016250</v>
      </c>
      <c r="M36" s="1078" t="s">
        <v>1150</v>
      </c>
      <c r="N36" s="1531" t="s">
        <v>1149</v>
      </c>
      <c r="O36" s="1531"/>
      <c r="P36" s="822">
        <v>5000</v>
      </c>
      <c r="Q36" s="318" t="s">
        <v>1164</v>
      </c>
      <c r="R36" s="858"/>
      <c r="S36" s="833"/>
      <c r="T36" s="833" t="s">
        <v>1211</v>
      </c>
      <c r="U36" s="906">
        <f>T35/U35</f>
        <v>1672.0279720279721</v>
      </c>
      <c r="V36" s="858"/>
      <c r="W36" s="832" t="s">
        <v>1138</v>
      </c>
      <c r="X36" s="923" t="s">
        <v>1139</v>
      </c>
      <c r="Y36" s="714">
        <f>100*200</f>
        <v>20000</v>
      </c>
      <c r="Z36" s="713" t="s">
        <v>1117</v>
      </c>
      <c r="AA36" s="858"/>
      <c r="AB36" s="858"/>
      <c r="AC36" s="858"/>
      <c r="AD36" s="858"/>
      <c r="AE36" s="858"/>
      <c r="AF36" s="858"/>
      <c r="AG36" s="858"/>
      <c r="AH36" s="858"/>
      <c r="AI36" s="858"/>
      <c r="AJ36" s="858"/>
      <c r="AK36" s="858"/>
      <c r="AL36" s="858"/>
      <c r="AM36" s="858"/>
      <c r="AN36" s="858"/>
      <c r="AO36" s="858"/>
      <c r="AP36" s="858"/>
      <c r="AQ36" s="858"/>
      <c r="AR36" s="858"/>
      <c r="AS36" s="858"/>
      <c r="AT36" s="858"/>
      <c r="AU36" s="858"/>
      <c r="AV36" s="858"/>
      <c r="AW36" s="858"/>
    </row>
    <row r="37" spans="1:51" ht="39" customHeight="1" x14ac:dyDescent="0.75">
      <c r="A37" s="1418"/>
      <c r="B37" s="1546"/>
      <c r="C37" s="1105" t="s">
        <v>1236</v>
      </c>
      <c r="D37" s="466" t="s">
        <v>618</v>
      </c>
      <c r="E37" s="836">
        <v>459</v>
      </c>
      <c r="F37" s="466"/>
      <c r="G37" s="836"/>
      <c r="H37" s="714">
        <f>'Cost Data'!H36</f>
        <v>1000</v>
      </c>
      <c r="I37" s="1087" t="str">
        <f>'Cost Data'!I32</f>
        <v>$/SF building</v>
      </c>
      <c r="J37" s="714">
        <f>'Cost Data'!J36</f>
        <v>0</v>
      </c>
      <c r="K37" s="1087">
        <f>'Cost Data'!K36</f>
        <v>0</v>
      </c>
      <c r="L37" s="1055">
        <f>H37*E37</f>
        <v>459000</v>
      </c>
      <c r="M37" s="1077" t="s">
        <v>1155</v>
      </c>
      <c r="N37" s="1544" t="s">
        <v>1157</v>
      </c>
      <c r="O37" s="1544"/>
      <c r="P37" s="858"/>
      <c r="T37" s="858"/>
      <c r="U37" s="858"/>
      <c r="V37" s="858"/>
      <c r="W37" s="863" t="s">
        <v>1152</v>
      </c>
      <c r="X37" s="858" t="s">
        <v>1153</v>
      </c>
      <c r="Y37" s="858"/>
      <c r="Z37" s="858"/>
      <c r="AA37" s="858"/>
      <c r="AB37" s="858"/>
      <c r="AC37" s="858"/>
      <c r="AD37" s="858"/>
      <c r="AE37" s="858"/>
      <c r="AF37" s="858"/>
      <c r="AG37" s="858"/>
      <c r="AH37" s="858"/>
      <c r="AI37" s="858"/>
      <c r="AJ37" s="858"/>
      <c r="AK37" s="858"/>
      <c r="AL37" s="858"/>
      <c r="AM37" s="858"/>
      <c r="AN37" s="858"/>
      <c r="AO37" s="858"/>
      <c r="AP37" s="858"/>
      <c r="AQ37" s="858"/>
      <c r="AR37" s="858"/>
      <c r="AS37" s="858"/>
      <c r="AT37" s="858"/>
      <c r="AU37" s="858"/>
      <c r="AV37" s="858"/>
      <c r="AW37" s="858"/>
    </row>
    <row r="38" spans="1:51" ht="39" customHeight="1" thickBot="1" x14ac:dyDescent="0.9">
      <c r="A38" s="1418"/>
      <c r="B38" s="1547"/>
      <c r="C38" s="1049" t="s">
        <v>1194</v>
      </c>
      <c r="D38" s="466" t="s">
        <v>618</v>
      </c>
      <c r="E38" s="685">
        <v>459</v>
      </c>
      <c r="F38" s="466"/>
      <c r="G38" s="836"/>
      <c r="H38" s="714">
        <f>'Cost Data'!H37</f>
        <v>43071.428571428572</v>
      </c>
      <c r="I38" s="1087" t="str">
        <f>'Cost Data'!I37</f>
        <v>$/building</v>
      </c>
      <c r="J38" s="714">
        <f>'Cost Data'!J37</f>
        <v>0</v>
      </c>
      <c r="K38" s="1087">
        <f>'Cost Data'!K37</f>
        <v>0</v>
      </c>
      <c r="L38" s="1055">
        <f>H38*E38</f>
        <v>19769785.714285716</v>
      </c>
      <c r="M38" s="1077" t="s">
        <v>1156</v>
      </c>
      <c r="N38" s="771"/>
      <c r="O38" s="771"/>
      <c r="P38" s="858"/>
      <c r="R38" s="863"/>
      <c r="S38" s="858"/>
      <c r="T38" s="858"/>
      <c r="U38" s="858"/>
      <c r="V38" s="858"/>
      <c r="W38" s="858"/>
      <c r="X38" s="858"/>
      <c r="Y38" s="858"/>
      <c r="Z38" s="858"/>
      <c r="AA38" s="858"/>
      <c r="AB38" s="858"/>
      <c r="AC38" s="858"/>
      <c r="AD38" s="858"/>
      <c r="AE38" s="858"/>
      <c r="AF38" s="858"/>
      <c r="AG38" s="858"/>
      <c r="AH38" s="858"/>
      <c r="AI38" s="858"/>
      <c r="AJ38" s="858"/>
      <c r="AK38" s="858"/>
      <c r="AL38" s="858"/>
      <c r="AM38" s="858"/>
      <c r="AN38" s="858"/>
      <c r="AO38" s="858"/>
      <c r="AP38" s="858"/>
      <c r="AQ38" s="858"/>
      <c r="AR38" s="858"/>
      <c r="AS38" s="858"/>
      <c r="AT38" s="858"/>
      <c r="AU38" s="858"/>
      <c r="AV38" s="858"/>
      <c r="AW38" s="858"/>
    </row>
    <row r="39" spans="1:51" s="861" customFormat="1" ht="54.65" customHeight="1" thickBot="1" x14ac:dyDescent="0.9">
      <c r="A39" s="1419"/>
      <c r="B39" s="1119" t="s">
        <v>405</v>
      </c>
      <c r="C39" s="1120" t="s">
        <v>415</v>
      </c>
      <c r="D39" s="1079"/>
      <c r="E39" s="1079"/>
      <c r="F39" s="1079"/>
      <c r="G39" s="1079"/>
      <c r="H39" s="1079"/>
      <c r="I39" s="1079"/>
      <c r="J39" s="1079"/>
      <c r="K39" s="1079"/>
      <c r="L39" s="1079"/>
      <c r="M39" s="1080"/>
      <c r="N39" s="1539"/>
      <c r="O39" s="1539"/>
      <c r="P39" s="858"/>
      <c r="Q39" s="858"/>
      <c r="R39" s="858"/>
      <c r="S39" s="858"/>
      <c r="T39" s="858"/>
      <c r="U39" s="858"/>
      <c r="V39" s="858"/>
      <c r="W39" s="858"/>
      <c r="X39" s="858"/>
      <c r="Y39" s="858"/>
      <c r="Z39" s="858"/>
      <c r="AA39" s="858"/>
      <c r="AB39" s="858"/>
      <c r="AC39" s="858"/>
      <c r="AD39" s="858"/>
      <c r="AE39" s="858"/>
      <c r="AF39" s="858"/>
      <c r="AG39" s="858"/>
      <c r="AH39" s="858"/>
      <c r="AI39" s="858"/>
      <c r="AJ39" s="858"/>
      <c r="AK39" s="858"/>
      <c r="AL39" s="858"/>
      <c r="AM39" s="858"/>
      <c r="AN39" s="858"/>
      <c r="AO39" s="858"/>
      <c r="AP39" s="858"/>
      <c r="AQ39" s="858"/>
      <c r="AR39" s="858"/>
      <c r="AS39" s="858"/>
      <c r="AT39" s="858"/>
      <c r="AU39" s="858"/>
      <c r="AV39" s="858"/>
      <c r="AW39" s="858"/>
      <c r="AX39" s="858"/>
      <c r="AY39" s="858"/>
    </row>
    <row r="40" spans="1:51" ht="105.65" customHeight="1" x14ac:dyDescent="0.75">
      <c r="A40" s="1549" t="s">
        <v>6</v>
      </c>
      <c r="B40" s="1550" t="s">
        <v>358</v>
      </c>
      <c r="C40" s="1121" t="s">
        <v>612</v>
      </c>
      <c r="D40" s="686" t="s">
        <v>622</v>
      </c>
      <c r="E40" s="924">
        <v>1</v>
      </c>
      <c r="F40" s="686" t="s">
        <v>1140</v>
      </c>
      <c r="G40" s="1059">
        <v>91</v>
      </c>
      <c r="H40" s="774">
        <f>'Cost Data'!H40</f>
        <v>70000</v>
      </c>
      <c r="I40" s="1090" t="str">
        <f>'Cost Data'!I40</f>
        <v>$/charger</v>
      </c>
      <c r="J40" s="774">
        <v>175000</v>
      </c>
      <c r="K40" s="1090" t="str">
        <f>'Cost Data'!K40</f>
        <v>$/bus</v>
      </c>
      <c r="L40" s="1128">
        <f>G40*J40+(Q40*G40*H40)</f>
        <v>16816800</v>
      </c>
      <c r="M40" s="803" t="s">
        <v>1125</v>
      </c>
      <c r="N40" s="1539" t="s">
        <v>1126</v>
      </c>
      <c r="O40" s="1539"/>
      <c r="P40" s="167" t="s">
        <v>1163</v>
      </c>
      <c r="Q40" s="167">
        <f>0.14</f>
        <v>0.14000000000000001</v>
      </c>
      <c r="R40" s="858"/>
      <c r="S40" s="858"/>
      <c r="T40" s="858"/>
      <c r="U40" s="858"/>
      <c r="V40" s="858"/>
      <c r="W40" s="858"/>
      <c r="X40" s="858"/>
      <c r="Y40" s="858"/>
      <c r="Z40" s="858"/>
      <c r="AA40" s="858"/>
      <c r="AB40" s="858"/>
      <c r="AC40" s="858"/>
      <c r="AD40" s="858"/>
      <c r="AE40" s="858"/>
      <c r="AF40" s="858"/>
      <c r="AG40" s="858"/>
      <c r="AH40" s="858"/>
      <c r="AI40" s="858"/>
      <c r="AJ40" s="858"/>
      <c r="AK40" s="858"/>
      <c r="AL40" s="858"/>
      <c r="AM40" s="858"/>
      <c r="AN40" s="858"/>
      <c r="AO40" s="858"/>
      <c r="AP40" s="858"/>
      <c r="AQ40" s="858"/>
      <c r="AR40" s="858"/>
      <c r="AS40" s="858"/>
      <c r="AT40" s="858"/>
      <c r="AU40" s="858"/>
      <c r="AV40" s="858"/>
      <c r="AW40" s="858"/>
    </row>
    <row r="41" spans="1:51" ht="39" customHeight="1" x14ac:dyDescent="0.75">
      <c r="A41" s="1534"/>
      <c r="B41" s="1551"/>
      <c r="C41" s="1049" t="s">
        <v>613</v>
      </c>
      <c r="D41" s="466" t="s">
        <v>784</v>
      </c>
      <c r="E41" s="854">
        <v>0.8</v>
      </c>
      <c r="F41" s="466" t="s">
        <v>1122</v>
      </c>
      <c r="G41" s="1046">
        <f>(E41*'Tool Reference'!Y12)/10</f>
        <v>2410.88</v>
      </c>
      <c r="H41" s="714">
        <f>'Cost Data'!H41</f>
        <v>2400</v>
      </c>
      <c r="I41" s="1087" t="str">
        <f>'Cost Data'!I41</f>
        <v>$/charger</v>
      </c>
      <c r="J41" s="714">
        <f>E41*'Tool Reference'!Y12</f>
        <v>24108.800000000003</v>
      </c>
      <c r="K41" s="1087" t="str">
        <f>'Cost Data'!K41</f>
        <v>Number of EV's</v>
      </c>
      <c r="L41" s="1055">
        <f>G41*H41</f>
        <v>5786112</v>
      </c>
      <c r="M41" s="1081" t="s">
        <v>1123</v>
      </c>
      <c r="N41" s="1539" t="s">
        <v>1124</v>
      </c>
      <c r="O41" s="1539"/>
      <c r="P41" s="856" t="s">
        <v>1162</v>
      </c>
      <c r="Q41" s="858">
        <v>10</v>
      </c>
      <c r="R41" s="858"/>
      <c r="S41" s="858"/>
      <c r="T41" s="858"/>
      <c r="U41" s="858"/>
      <c r="V41" s="858"/>
      <c r="W41" s="858"/>
      <c r="X41" s="858"/>
      <c r="Y41" s="858"/>
      <c r="Z41" s="858"/>
      <c r="AA41" s="858"/>
      <c r="AB41" s="858"/>
      <c r="AC41" s="858"/>
      <c r="AD41" s="858"/>
      <c r="AE41" s="858"/>
      <c r="AF41" s="858"/>
      <c r="AG41" s="858"/>
      <c r="AH41" s="858"/>
      <c r="AI41" s="858"/>
      <c r="AJ41" s="858"/>
      <c r="AK41" s="858"/>
      <c r="AL41" s="858"/>
      <c r="AM41" s="858"/>
      <c r="AN41" s="858"/>
      <c r="AO41" s="858"/>
      <c r="AP41" s="858"/>
      <c r="AQ41" s="858"/>
      <c r="AR41" s="858"/>
      <c r="AS41" s="858"/>
      <c r="AT41" s="858"/>
      <c r="AU41" s="858"/>
      <c r="AV41" s="858"/>
      <c r="AW41" s="858"/>
    </row>
    <row r="42" spans="1:51" ht="73.900000000000006" customHeight="1" x14ac:dyDescent="0.75">
      <c r="A42" s="1534"/>
      <c r="B42" s="1122" t="s">
        <v>865</v>
      </c>
      <c r="C42" s="1049" t="s">
        <v>1141</v>
      </c>
      <c r="D42" s="466" t="s">
        <v>864</v>
      </c>
      <c r="E42" s="854">
        <v>1</v>
      </c>
      <c r="F42" s="466" t="s">
        <v>1140</v>
      </c>
      <c r="G42" s="836">
        <v>91</v>
      </c>
      <c r="H42" s="714">
        <v>107083</v>
      </c>
      <c r="I42" s="1087" t="str">
        <f>'Cost Data'!I42</f>
        <v>$/bus</v>
      </c>
      <c r="J42" s="714">
        <f>'Cost Data'!J42</f>
        <v>0</v>
      </c>
      <c r="K42" s="1087">
        <f>'Cost Data'!K42</f>
        <v>0</v>
      </c>
      <c r="L42" s="1055">
        <f>G42*H42</f>
        <v>9744553</v>
      </c>
      <c r="M42" s="1077" t="s">
        <v>1142</v>
      </c>
      <c r="N42" s="1539"/>
      <c r="O42" s="1539"/>
      <c r="P42" s="858"/>
      <c r="R42" s="858"/>
      <c r="S42" s="858"/>
      <c r="T42" s="858"/>
      <c r="U42" s="858"/>
      <c r="V42" s="858"/>
      <c r="W42" s="858"/>
      <c r="X42" s="858"/>
      <c r="Y42" s="858"/>
      <c r="Z42" s="858"/>
      <c r="AA42" s="858"/>
      <c r="AB42" s="858"/>
      <c r="AC42" s="858"/>
      <c r="AD42" s="858"/>
      <c r="AE42" s="858"/>
      <c r="AF42" s="858"/>
      <c r="AG42" s="858"/>
      <c r="AH42" s="858"/>
      <c r="AI42" s="858"/>
      <c r="AJ42" s="858"/>
      <c r="AK42" s="858"/>
      <c r="AL42" s="858"/>
      <c r="AM42" s="858"/>
      <c r="AN42" s="858"/>
      <c r="AO42" s="858"/>
      <c r="AP42" s="858"/>
      <c r="AQ42" s="858"/>
      <c r="AR42" s="858"/>
      <c r="AS42" s="858"/>
      <c r="AT42" s="858"/>
      <c r="AU42" s="858"/>
      <c r="AV42" s="858"/>
      <c r="AW42" s="858"/>
    </row>
    <row r="43" spans="1:51" s="862" customFormat="1" ht="39" customHeight="1" thickBot="1" x14ac:dyDescent="0.9">
      <c r="A43" s="1534"/>
      <c r="B43" s="1551" t="s">
        <v>359</v>
      </c>
      <c r="C43" s="1049" t="s">
        <v>361</v>
      </c>
      <c r="D43" s="1048"/>
      <c r="E43" s="1048"/>
      <c r="F43" s="1048"/>
      <c r="G43" s="1048"/>
      <c r="H43" s="1048"/>
      <c r="I43" s="1048"/>
      <c r="J43" s="1048"/>
      <c r="K43" s="1048"/>
      <c r="L43" s="1048"/>
      <c r="M43" s="1082"/>
      <c r="N43" s="1539"/>
      <c r="O43" s="1539"/>
      <c r="P43" s="858"/>
      <c r="Q43" s="858"/>
      <c r="R43" s="858"/>
      <c r="S43" s="858"/>
      <c r="T43" s="858"/>
      <c r="U43" s="858"/>
      <c r="V43" s="858"/>
      <c r="W43" s="858"/>
      <c r="X43" s="858"/>
      <c r="Y43" s="858"/>
      <c r="Z43" s="858"/>
      <c r="AA43" s="858"/>
      <c r="AB43" s="858"/>
      <c r="AC43" s="858"/>
      <c r="AD43" s="858"/>
      <c r="AE43" s="858"/>
      <c r="AF43" s="858"/>
      <c r="AG43" s="858"/>
      <c r="AH43" s="858"/>
      <c r="AI43" s="858"/>
      <c r="AJ43" s="858"/>
      <c r="AK43" s="858"/>
      <c r="AL43" s="858"/>
      <c r="AM43" s="858"/>
      <c r="AN43" s="858"/>
      <c r="AO43" s="858"/>
      <c r="AP43" s="858"/>
      <c r="AQ43" s="858"/>
      <c r="AR43" s="858"/>
      <c r="AS43" s="858"/>
      <c r="AT43" s="858"/>
      <c r="AU43" s="858"/>
      <c r="AV43" s="858"/>
      <c r="AW43" s="858"/>
      <c r="AX43" s="858"/>
      <c r="AY43" s="858"/>
    </row>
    <row r="44" spans="1:51" ht="39" customHeight="1" x14ac:dyDescent="0.75">
      <c r="A44" s="1534"/>
      <c r="B44" s="1551"/>
      <c r="C44" s="1049" t="s">
        <v>362</v>
      </c>
      <c r="D44" s="1048"/>
      <c r="E44" s="1048"/>
      <c r="F44" s="1048"/>
      <c r="G44" s="1048"/>
      <c r="H44" s="1048"/>
      <c r="I44" s="1048"/>
      <c r="J44" s="1048"/>
      <c r="K44" s="1048"/>
      <c r="L44" s="1048"/>
      <c r="M44" s="1082"/>
      <c r="N44" s="1539"/>
      <c r="O44" s="1539"/>
      <c r="T44"/>
      <c r="U44" s="858"/>
      <c r="V44" s="858"/>
      <c r="W44" s="858"/>
      <c r="X44" s="858"/>
      <c r="Y44" s="858"/>
      <c r="Z44" s="858"/>
      <c r="AA44" s="858"/>
      <c r="AB44" s="858"/>
      <c r="AC44" s="858"/>
      <c r="AD44" s="858"/>
      <c r="AE44" s="858"/>
      <c r="AF44" s="858"/>
      <c r="AG44" s="858"/>
      <c r="AH44" s="858"/>
      <c r="AI44" s="858"/>
      <c r="AJ44" s="858"/>
      <c r="AK44" s="858"/>
      <c r="AL44" s="858"/>
      <c r="AM44" s="858"/>
      <c r="AN44" s="858"/>
      <c r="AO44" s="858"/>
      <c r="AP44" s="858"/>
      <c r="AQ44" s="858"/>
      <c r="AR44" s="858"/>
      <c r="AS44" s="858"/>
      <c r="AT44" s="858"/>
      <c r="AU44" s="858"/>
      <c r="AV44" s="858"/>
      <c r="AW44" s="858"/>
    </row>
    <row r="45" spans="1:51" ht="39" customHeight="1" thickBot="1" x14ac:dyDescent="0.9">
      <c r="A45" s="1535"/>
      <c r="B45" s="1552"/>
      <c r="C45" s="1120" t="s">
        <v>363</v>
      </c>
      <c r="D45" s="1079"/>
      <c r="E45" s="1079"/>
      <c r="F45" s="1079"/>
      <c r="G45" s="1079"/>
      <c r="H45" s="1079"/>
      <c r="I45" s="1079"/>
      <c r="J45" s="1079"/>
      <c r="K45" s="1079"/>
      <c r="L45" s="1075"/>
      <c r="M45" s="1083" t="s">
        <v>1113</v>
      </c>
      <c r="N45" s="1539"/>
      <c r="O45" s="1539"/>
      <c r="S45" s="858"/>
      <c r="T45" s="858"/>
      <c r="U45" s="858"/>
      <c r="V45" s="858"/>
      <c r="W45" s="858"/>
      <c r="X45" s="858"/>
      <c r="Y45" s="858"/>
      <c r="Z45" s="858"/>
      <c r="AA45" s="858"/>
      <c r="AB45" s="858"/>
      <c r="AC45" s="858"/>
      <c r="AD45" s="858"/>
      <c r="AE45" s="858"/>
      <c r="AF45" s="858"/>
      <c r="AG45" s="858"/>
      <c r="AH45" s="858"/>
      <c r="AI45" s="858"/>
      <c r="AJ45" s="858"/>
      <c r="AK45" s="858"/>
      <c r="AL45" s="858"/>
      <c r="AM45" s="858"/>
      <c r="AN45" s="858"/>
      <c r="AO45" s="858"/>
      <c r="AP45" s="858"/>
      <c r="AQ45" s="858"/>
      <c r="AR45" s="858"/>
      <c r="AS45" s="858"/>
      <c r="AT45" s="858"/>
      <c r="AU45" s="858"/>
      <c r="AV45" s="858"/>
      <c r="AW45" s="858"/>
    </row>
    <row r="46" spans="1:51" ht="39" customHeight="1" x14ac:dyDescent="0.75">
      <c r="A46" s="1549" t="s">
        <v>18</v>
      </c>
      <c r="B46" s="1550" t="s">
        <v>541</v>
      </c>
      <c r="C46" s="1121" t="s">
        <v>676</v>
      </c>
      <c r="D46" s="686" t="s">
        <v>658</v>
      </c>
      <c r="E46" s="1084">
        <v>100000</v>
      </c>
      <c r="F46" s="686"/>
      <c r="G46" s="1059"/>
      <c r="H46" s="774">
        <f>'Cost Data'!H46</f>
        <v>300</v>
      </c>
      <c r="I46" s="1090" t="str">
        <f>'Cost Data'!I46</f>
        <v>$/tree</v>
      </c>
      <c r="J46" s="774">
        <f>'Cost Data'!J46</f>
        <v>0</v>
      </c>
      <c r="K46" s="1090">
        <f>'Cost Data'!K46</f>
        <v>0</v>
      </c>
      <c r="L46" s="1128">
        <f>H46*E46</f>
        <v>30000000</v>
      </c>
      <c r="M46" s="803" t="s">
        <v>1131</v>
      </c>
      <c r="N46" s="1539"/>
      <c r="O46" s="1539"/>
      <c r="S46" s="858"/>
      <c r="T46" s="858"/>
      <c r="U46" s="858"/>
      <c r="V46" s="858"/>
      <c r="W46" s="858"/>
      <c r="X46" s="858"/>
      <c r="Y46" s="858"/>
      <c r="Z46" s="858"/>
      <c r="AA46" s="858"/>
      <c r="AB46" s="858"/>
      <c r="AC46" s="858"/>
      <c r="AD46" s="858"/>
      <c r="AE46" s="858"/>
      <c r="AF46" s="858"/>
      <c r="AG46" s="858"/>
      <c r="AH46" s="858"/>
      <c r="AI46" s="858"/>
      <c r="AJ46" s="858"/>
      <c r="AK46" s="858"/>
      <c r="AL46" s="858"/>
      <c r="AM46" s="858"/>
      <c r="AN46" s="858"/>
      <c r="AO46" s="858"/>
      <c r="AP46" s="858"/>
      <c r="AQ46" s="858"/>
      <c r="AR46" s="858"/>
      <c r="AS46" s="858"/>
      <c r="AT46" s="858"/>
      <c r="AU46" s="858"/>
      <c r="AV46" s="858"/>
      <c r="AW46" s="858"/>
    </row>
    <row r="47" spans="1:51" ht="39" customHeight="1" x14ac:dyDescent="0.75">
      <c r="A47" s="1534"/>
      <c r="B47" s="1551"/>
      <c r="C47" s="1049" t="s">
        <v>726</v>
      </c>
      <c r="D47" s="466" t="s">
        <v>753</v>
      </c>
      <c r="E47" s="1050">
        <v>1000000</v>
      </c>
      <c r="F47" s="1051" t="s">
        <v>754</v>
      </c>
      <c r="G47" s="1052">
        <v>100000</v>
      </c>
      <c r="H47" s="714">
        <f>'Cost Data'!H47</f>
        <v>0.5</v>
      </c>
      <c r="I47" s="1087" t="str">
        <f>'Cost Data'!I47</f>
        <v>$/sf</v>
      </c>
      <c r="J47" s="714">
        <f>'Cost Data'!J47</f>
        <v>25</v>
      </c>
      <c r="K47" s="1087" t="str">
        <f>'Cost Data'!K47</f>
        <v>$/shrub</v>
      </c>
      <c r="L47" s="1055">
        <f>(E47*H47)+(G47*J47)</f>
        <v>3000000</v>
      </c>
      <c r="M47" s="804" t="s">
        <v>1130</v>
      </c>
      <c r="N47" s="711" t="s">
        <v>1132</v>
      </c>
      <c r="O47" s="764"/>
      <c r="S47" s="858"/>
      <c r="T47" s="858"/>
      <c r="U47" s="858"/>
      <c r="V47" s="858"/>
      <c r="W47" s="858"/>
      <c r="X47" s="858"/>
      <c r="Y47" s="858"/>
      <c r="Z47" s="858"/>
      <c r="AA47" s="858"/>
      <c r="AB47" s="858"/>
      <c r="AC47" s="858"/>
      <c r="AD47" s="858"/>
      <c r="AE47" s="858"/>
      <c r="AF47" s="858"/>
      <c r="AG47" s="858"/>
      <c r="AH47" s="858"/>
      <c r="AI47" s="858"/>
      <c r="AJ47" s="858"/>
      <c r="AK47" s="858"/>
      <c r="AL47" s="858"/>
      <c r="AM47" s="858"/>
      <c r="AN47" s="858"/>
      <c r="AO47" s="858"/>
      <c r="AP47" s="858"/>
      <c r="AQ47" s="858"/>
      <c r="AR47" s="858"/>
      <c r="AS47" s="858"/>
      <c r="AT47" s="858"/>
      <c r="AU47" s="858"/>
      <c r="AV47" s="858"/>
      <c r="AW47" s="858"/>
    </row>
    <row r="48" spans="1:51" ht="39" customHeight="1" x14ac:dyDescent="0.75">
      <c r="A48" s="1534"/>
      <c r="B48" s="1551"/>
      <c r="C48" s="1049" t="s">
        <v>790</v>
      </c>
      <c r="D48" s="466" t="s">
        <v>783</v>
      </c>
      <c r="E48" s="685">
        <v>800000</v>
      </c>
      <c r="F48" s="1053"/>
      <c r="G48" s="836"/>
      <c r="H48" s="714">
        <f>'Cost Data'!H48</f>
        <v>0.5</v>
      </c>
      <c r="I48" s="1087" t="str">
        <f>'Cost Data'!I48</f>
        <v>$/sf</v>
      </c>
      <c r="J48" s="714">
        <f>'Cost Data'!J48</f>
        <v>0</v>
      </c>
      <c r="K48" s="1087">
        <f>'Cost Data'!K48</f>
        <v>0</v>
      </c>
      <c r="L48" s="1055">
        <f>H48*E48</f>
        <v>400000</v>
      </c>
      <c r="M48" s="804" t="s">
        <v>1130</v>
      </c>
      <c r="N48" s="1539"/>
      <c r="O48" s="1539"/>
      <c r="S48" s="858"/>
      <c r="T48" s="858"/>
      <c r="U48" s="858"/>
      <c r="V48" s="858"/>
      <c r="W48" s="858"/>
      <c r="X48" s="858"/>
      <c r="Y48" s="858"/>
      <c r="Z48" s="858"/>
      <c r="AA48" s="858"/>
      <c r="AB48" s="858"/>
      <c r="AC48" s="858"/>
      <c r="AD48" s="858"/>
      <c r="AE48" s="858"/>
      <c r="AF48" s="858"/>
      <c r="AG48" s="858"/>
      <c r="AH48" s="858"/>
      <c r="AI48" s="858"/>
      <c r="AJ48" s="858"/>
      <c r="AK48" s="858"/>
      <c r="AL48" s="858"/>
      <c r="AM48" s="858"/>
      <c r="AN48" s="858"/>
      <c r="AO48" s="858"/>
      <c r="AP48" s="858"/>
      <c r="AQ48" s="858"/>
      <c r="AR48" s="858"/>
      <c r="AS48" s="858"/>
      <c r="AT48" s="858"/>
      <c r="AU48" s="858"/>
      <c r="AV48" s="858"/>
      <c r="AW48" s="858"/>
    </row>
    <row r="49" spans="1:49" ht="39" customHeight="1" x14ac:dyDescent="0.75">
      <c r="A49" s="1534"/>
      <c r="B49" s="1551"/>
      <c r="C49" s="1049" t="s">
        <v>795</v>
      </c>
      <c r="D49" s="1054"/>
      <c r="E49" s="1054"/>
      <c r="F49" s="1054"/>
      <c r="G49" s="1054"/>
      <c r="H49" s="1054"/>
      <c r="I49" s="1054"/>
      <c r="J49" s="1054"/>
      <c r="K49" s="1054"/>
      <c r="L49" s="1054"/>
      <c r="M49" s="1082"/>
      <c r="N49" s="1539"/>
      <c r="O49" s="1539"/>
      <c r="S49" s="858"/>
      <c r="T49" s="858"/>
      <c r="U49" s="858"/>
      <c r="V49" s="858"/>
      <c r="W49" s="858"/>
      <c r="X49" s="858"/>
      <c r="Y49" s="858"/>
      <c r="Z49" s="858"/>
      <c r="AA49" s="858"/>
      <c r="AB49" s="858"/>
      <c r="AC49" s="858"/>
      <c r="AD49" s="858"/>
      <c r="AE49" s="858"/>
      <c r="AF49" s="858"/>
      <c r="AG49" s="858"/>
      <c r="AH49" s="858"/>
      <c r="AI49" s="858"/>
      <c r="AJ49" s="858"/>
      <c r="AK49" s="858"/>
      <c r="AL49" s="858"/>
      <c r="AM49" s="858"/>
      <c r="AN49" s="858"/>
      <c r="AO49" s="858"/>
      <c r="AP49" s="858"/>
      <c r="AQ49" s="858"/>
      <c r="AR49" s="858"/>
      <c r="AS49" s="858"/>
      <c r="AT49" s="858"/>
      <c r="AU49" s="858"/>
      <c r="AV49" s="858"/>
      <c r="AW49" s="858"/>
    </row>
    <row r="50" spans="1:49" ht="39" hidden="1" customHeight="1" thickBot="1" x14ac:dyDescent="0.9">
      <c r="A50" s="1535"/>
      <c r="B50" s="1119" t="s">
        <v>417</v>
      </c>
      <c r="C50" s="1123" t="s">
        <v>418</v>
      </c>
      <c r="D50" s="688" t="s">
        <v>665</v>
      </c>
      <c r="E50" s="689"/>
      <c r="F50" s="688" t="s">
        <v>1143</v>
      </c>
      <c r="G50" s="1061"/>
      <c r="H50" s="723">
        <f>'Cost Data'!H50</f>
        <v>343</v>
      </c>
      <c r="I50" s="1088" t="str">
        <f>'Cost Data'!I50</f>
        <v>$/toilet</v>
      </c>
      <c r="J50" s="723">
        <f>'Cost Data'!J50</f>
        <v>0</v>
      </c>
      <c r="K50" s="1088">
        <f>'Cost Data'!K50</f>
        <v>0</v>
      </c>
      <c r="L50" s="1125">
        <f>H50*E50*G50</f>
        <v>0</v>
      </c>
      <c r="M50" s="1085" t="s">
        <v>1151</v>
      </c>
      <c r="N50" s="1539"/>
      <c r="O50" s="1539"/>
      <c r="P50" s="858"/>
      <c r="R50" s="858"/>
      <c r="S50" s="858"/>
      <c r="T50" s="858"/>
      <c r="U50" s="858"/>
      <c r="V50" s="858"/>
      <c r="W50" s="858"/>
      <c r="X50" s="858"/>
      <c r="Y50" s="858"/>
      <c r="Z50" s="858"/>
      <c r="AA50" s="858"/>
      <c r="AB50" s="858"/>
      <c r="AC50" s="858"/>
      <c r="AD50" s="858"/>
      <c r="AE50" s="858"/>
      <c r="AF50" s="858"/>
      <c r="AG50" s="858"/>
      <c r="AH50" s="858"/>
      <c r="AI50" s="858"/>
      <c r="AJ50" s="858"/>
      <c r="AK50" s="858"/>
      <c r="AL50" s="858"/>
      <c r="AM50" s="858"/>
      <c r="AN50" s="858"/>
      <c r="AO50" s="858"/>
      <c r="AP50" s="858"/>
      <c r="AQ50" s="858"/>
      <c r="AR50" s="858"/>
      <c r="AS50" s="858"/>
      <c r="AT50" s="858"/>
      <c r="AU50" s="858"/>
      <c r="AV50" s="858"/>
      <c r="AW50" s="858"/>
    </row>
    <row r="51" spans="1:49" ht="40.15" customHeight="1" x14ac:dyDescent="0.75">
      <c r="A51" s="878"/>
      <c r="B51" s="878"/>
      <c r="C51" s="878"/>
      <c r="D51" s="878"/>
      <c r="E51" s="878"/>
      <c r="F51" s="878"/>
      <c r="G51" s="878"/>
      <c r="H51" s="878"/>
      <c r="I51" s="878"/>
      <c r="J51" s="878"/>
      <c r="K51" s="878"/>
      <c r="L51" s="926"/>
      <c r="M51" s="927"/>
      <c r="N51" s="1539"/>
      <c r="O51" s="1539"/>
      <c r="P51" s="858"/>
      <c r="R51" s="858"/>
      <c r="S51" s="858"/>
      <c r="T51" s="858"/>
      <c r="U51" s="858"/>
      <c r="V51" s="858"/>
      <c r="W51" s="858"/>
      <c r="X51" s="858"/>
      <c r="Y51" s="858"/>
      <c r="Z51" s="858"/>
      <c r="AA51" s="858"/>
      <c r="AB51" s="858"/>
      <c r="AC51" s="858"/>
      <c r="AD51" s="858"/>
      <c r="AE51" s="858"/>
      <c r="AF51" s="858"/>
      <c r="AG51" s="858"/>
      <c r="AH51" s="858"/>
      <c r="AI51" s="858"/>
      <c r="AJ51" s="858"/>
      <c r="AK51" s="858"/>
      <c r="AL51" s="858"/>
      <c r="AM51" s="858"/>
      <c r="AN51" s="858"/>
      <c r="AO51" s="858"/>
      <c r="AP51" s="858"/>
      <c r="AQ51" s="858"/>
      <c r="AR51" s="858"/>
      <c r="AS51" s="858"/>
      <c r="AT51" s="858"/>
      <c r="AU51" s="858"/>
      <c r="AV51" s="858"/>
      <c r="AW51" s="858"/>
    </row>
    <row r="52" spans="1:49" ht="40.15" customHeight="1" x14ac:dyDescent="0.75">
      <c r="A52" s="878"/>
      <c r="B52" s="878"/>
      <c r="C52" s="878"/>
      <c r="D52" s="878"/>
      <c r="E52" s="878"/>
      <c r="F52" s="878"/>
      <c r="G52" s="878"/>
      <c r="H52" s="878"/>
      <c r="I52" s="878"/>
      <c r="J52" s="878"/>
      <c r="K52" s="878"/>
      <c r="L52" s="926"/>
      <c r="M52" s="927"/>
      <c r="N52" s="1539"/>
      <c r="O52" s="1539"/>
      <c r="P52" s="858"/>
      <c r="R52" s="858"/>
      <c r="S52" s="858"/>
      <c r="T52" s="858"/>
      <c r="U52" s="858"/>
      <c r="V52" s="858"/>
      <c r="W52" s="858"/>
      <c r="X52" s="858"/>
      <c r="Y52" s="858"/>
      <c r="Z52" s="858"/>
      <c r="AA52" s="858"/>
      <c r="AB52" s="858"/>
      <c r="AC52" s="858"/>
      <c r="AD52" s="858"/>
      <c r="AE52" s="858"/>
      <c r="AF52" s="858"/>
      <c r="AG52" s="858"/>
      <c r="AH52" s="858"/>
      <c r="AI52" s="858"/>
      <c r="AJ52" s="858"/>
      <c r="AK52" s="858"/>
      <c r="AL52" s="858"/>
      <c r="AM52" s="858"/>
      <c r="AN52" s="858"/>
      <c r="AO52" s="858"/>
      <c r="AP52" s="858"/>
      <c r="AQ52" s="858"/>
      <c r="AR52" s="858"/>
      <c r="AS52" s="858"/>
      <c r="AT52" s="858"/>
      <c r="AU52" s="858"/>
      <c r="AV52" s="858"/>
      <c r="AW52" s="858"/>
    </row>
    <row r="53" spans="1:49" ht="21" x14ac:dyDescent="0.75">
      <c r="A53" s="878"/>
      <c r="B53" s="878"/>
      <c r="C53" s="878"/>
      <c r="D53" s="878"/>
      <c r="E53" s="878"/>
      <c r="F53" s="878">
        <v>3.5</v>
      </c>
      <c r="G53" s="878" t="s">
        <v>1193</v>
      </c>
      <c r="H53" s="878"/>
      <c r="I53" s="878"/>
      <c r="J53" s="878"/>
      <c r="K53" s="878"/>
      <c r="L53" s="926"/>
      <c r="M53" s="927"/>
      <c r="N53" s="1539"/>
      <c r="O53" s="1539"/>
      <c r="P53" s="858"/>
      <c r="R53" s="858"/>
      <c r="S53" s="858"/>
      <c r="T53" s="858"/>
      <c r="U53" s="858"/>
      <c r="V53" s="858"/>
      <c r="W53" s="858"/>
      <c r="X53" s="858"/>
      <c r="Y53" s="858"/>
      <c r="Z53" s="858"/>
      <c r="AA53" s="858"/>
      <c r="AB53" s="858"/>
      <c r="AC53" s="858"/>
      <c r="AD53" s="858"/>
      <c r="AE53" s="858"/>
      <c r="AF53" s="858"/>
      <c r="AG53" s="858"/>
      <c r="AH53" s="858"/>
      <c r="AI53" s="858"/>
      <c r="AJ53" s="858"/>
      <c r="AK53" s="858"/>
      <c r="AL53" s="858"/>
      <c r="AM53" s="858"/>
      <c r="AN53" s="858"/>
      <c r="AO53" s="858"/>
      <c r="AP53" s="858"/>
      <c r="AQ53" s="858"/>
      <c r="AR53" s="858"/>
      <c r="AS53" s="858"/>
      <c r="AT53" s="858"/>
      <c r="AU53" s="858"/>
      <c r="AV53" s="858"/>
      <c r="AW53" s="858"/>
    </row>
    <row r="54" spans="1:49" ht="21" x14ac:dyDescent="0.75">
      <c r="A54" s="878"/>
      <c r="B54" s="878"/>
      <c r="C54" s="878"/>
      <c r="D54" s="878"/>
      <c r="E54" s="878"/>
      <c r="F54" s="878">
        <v>0.5</v>
      </c>
      <c r="G54" s="878" t="s">
        <v>1192</v>
      </c>
      <c r="H54" s="878"/>
      <c r="I54" s="878"/>
      <c r="J54" s="878"/>
      <c r="K54" s="878"/>
      <c r="L54" s="926"/>
      <c r="M54" s="927"/>
      <c r="N54" s="1539"/>
      <c r="O54" s="1539"/>
      <c r="P54" s="858"/>
      <c r="R54" s="858"/>
      <c r="S54" s="858"/>
      <c r="T54" s="858"/>
      <c r="U54" s="858"/>
      <c r="V54" s="858"/>
      <c r="W54" s="858"/>
      <c r="X54" s="858"/>
      <c r="Y54" s="858"/>
      <c r="Z54" s="858"/>
      <c r="AA54" s="858"/>
      <c r="AB54" s="858"/>
      <c r="AC54" s="858"/>
      <c r="AD54" s="858"/>
      <c r="AE54" s="858"/>
      <c r="AF54" s="858"/>
      <c r="AG54" s="858"/>
      <c r="AH54" s="858"/>
      <c r="AI54" s="858"/>
      <c r="AJ54" s="858"/>
      <c r="AK54" s="858"/>
      <c r="AL54" s="858"/>
      <c r="AM54" s="858"/>
      <c r="AN54" s="858"/>
      <c r="AO54" s="858"/>
      <c r="AP54" s="858"/>
      <c r="AQ54" s="858"/>
      <c r="AR54" s="858"/>
      <c r="AS54" s="858"/>
      <c r="AT54" s="858"/>
      <c r="AU54" s="858"/>
      <c r="AV54" s="858"/>
      <c r="AW54" s="858"/>
    </row>
    <row r="55" spans="1:49" ht="21" x14ac:dyDescent="0.75">
      <c r="A55" s="878"/>
      <c r="B55" s="878"/>
      <c r="C55" s="878"/>
      <c r="D55" s="878"/>
      <c r="E55" s="878"/>
      <c r="F55" s="878">
        <v>0.5</v>
      </c>
      <c r="G55" s="878" t="s">
        <v>1191</v>
      </c>
      <c r="H55" s="878"/>
      <c r="I55" s="878"/>
      <c r="J55" s="878"/>
      <c r="K55" s="878"/>
      <c r="L55" s="926"/>
      <c r="M55" s="927"/>
      <c r="N55" s="1539"/>
      <c r="O55" s="1539"/>
      <c r="P55" s="858"/>
      <c r="R55" s="858"/>
      <c r="S55" s="858"/>
      <c r="T55" s="858"/>
      <c r="U55" s="858"/>
      <c r="V55" s="858"/>
      <c r="W55" s="858"/>
      <c r="X55" s="858"/>
      <c r="Y55" s="858"/>
      <c r="Z55" s="858"/>
      <c r="AA55" s="858"/>
      <c r="AB55" s="858"/>
      <c r="AC55" s="858"/>
      <c r="AD55" s="858"/>
      <c r="AE55" s="858"/>
      <c r="AF55" s="858"/>
      <c r="AG55" s="858"/>
      <c r="AH55" s="858"/>
      <c r="AI55" s="858"/>
      <c r="AJ55" s="858"/>
      <c r="AK55" s="858"/>
      <c r="AL55" s="858"/>
      <c r="AM55" s="858"/>
      <c r="AN55" s="858"/>
      <c r="AO55" s="858"/>
      <c r="AP55" s="858"/>
      <c r="AQ55" s="858"/>
      <c r="AR55" s="858"/>
      <c r="AS55" s="858"/>
      <c r="AT55" s="858"/>
      <c r="AU55" s="858"/>
      <c r="AV55" s="858"/>
      <c r="AW55" s="858"/>
    </row>
    <row r="56" spans="1:49" ht="21" x14ac:dyDescent="0.75">
      <c r="A56" s="878"/>
      <c r="B56" s="878"/>
      <c r="C56" s="878"/>
      <c r="D56" s="878"/>
      <c r="E56" s="878"/>
      <c r="F56" s="878"/>
      <c r="G56" s="878"/>
      <c r="H56" s="878"/>
      <c r="I56" s="878"/>
      <c r="J56" s="878"/>
      <c r="K56" s="878"/>
      <c r="L56" s="926"/>
      <c r="M56" s="927"/>
      <c r="N56" s="1539"/>
      <c r="O56" s="1539"/>
      <c r="P56" s="858"/>
      <c r="R56" s="858"/>
      <c r="S56" s="858"/>
      <c r="T56" s="858"/>
      <c r="U56" s="858"/>
      <c r="V56" s="858"/>
      <c r="W56" s="858"/>
      <c r="X56" s="858"/>
      <c r="Y56" s="858"/>
      <c r="Z56" s="858"/>
      <c r="AA56" s="858"/>
      <c r="AB56" s="858"/>
      <c r="AC56" s="858"/>
      <c r="AD56" s="858"/>
      <c r="AE56" s="858"/>
      <c r="AF56" s="858"/>
      <c r="AG56" s="858"/>
      <c r="AH56" s="858"/>
      <c r="AI56" s="858"/>
      <c r="AJ56" s="858"/>
      <c r="AK56" s="858"/>
      <c r="AL56" s="858"/>
      <c r="AM56" s="858"/>
      <c r="AN56" s="858"/>
      <c r="AO56" s="858"/>
      <c r="AP56" s="858"/>
      <c r="AQ56" s="858"/>
      <c r="AR56" s="858"/>
      <c r="AS56" s="858"/>
      <c r="AT56" s="858"/>
      <c r="AU56" s="858"/>
      <c r="AV56" s="858"/>
      <c r="AW56" s="858"/>
    </row>
    <row r="57" spans="1:49" ht="21" x14ac:dyDescent="0.75">
      <c r="A57" s="878"/>
      <c r="B57" s="878"/>
      <c r="C57" s="878"/>
      <c r="D57" s="878"/>
      <c r="E57" s="878"/>
      <c r="F57" s="878"/>
      <c r="G57" s="878"/>
      <c r="H57" s="878"/>
      <c r="I57" s="878"/>
      <c r="J57" s="878"/>
      <c r="K57" s="878"/>
      <c r="L57" s="926"/>
      <c r="M57" s="927"/>
      <c r="N57" s="1539"/>
      <c r="O57" s="1539"/>
      <c r="P57" s="858"/>
      <c r="R57" s="858"/>
      <c r="S57" s="858"/>
      <c r="T57" s="858"/>
      <c r="U57" s="858"/>
      <c r="V57" s="858"/>
      <c r="W57" s="858"/>
      <c r="X57" s="858"/>
      <c r="Y57" s="858"/>
      <c r="Z57" s="858"/>
      <c r="AA57" s="858"/>
      <c r="AB57" s="858"/>
      <c r="AC57" s="858"/>
      <c r="AD57" s="858"/>
      <c r="AE57" s="858"/>
      <c r="AF57" s="858"/>
      <c r="AG57" s="858"/>
      <c r="AH57" s="858"/>
      <c r="AI57" s="858"/>
      <c r="AJ57" s="858"/>
      <c r="AK57" s="858"/>
      <c r="AL57" s="858"/>
      <c r="AM57" s="858"/>
      <c r="AN57" s="858"/>
      <c r="AO57" s="858"/>
      <c r="AP57" s="858"/>
      <c r="AQ57" s="858"/>
      <c r="AR57" s="858"/>
      <c r="AS57" s="858"/>
      <c r="AT57" s="858"/>
      <c r="AU57" s="858"/>
      <c r="AV57" s="858"/>
      <c r="AW57" s="858"/>
    </row>
    <row r="58" spans="1:49" ht="14.75" x14ac:dyDescent="0.75">
      <c r="A58" s="878"/>
      <c r="B58" s="878"/>
      <c r="C58" s="878"/>
      <c r="D58" s="878"/>
      <c r="E58" s="878"/>
      <c r="F58" s="878"/>
      <c r="G58" s="878"/>
      <c r="H58" s="878"/>
      <c r="I58" s="878"/>
      <c r="J58" s="878"/>
      <c r="K58" s="878"/>
      <c r="L58" s="926"/>
      <c r="M58" s="878"/>
      <c r="N58" s="858"/>
      <c r="O58" s="858"/>
      <c r="P58" s="858"/>
      <c r="R58" s="858"/>
      <c r="S58" s="858"/>
      <c r="T58" s="858"/>
      <c r="U58" s="858"/>
      <c r="V58" s="858"/>
      <c r="W58" s="858"/>
      <c r="X58" s="858"/>
      <c r="Y58" s="858"/>
      <c r="Z58" s="858"/>
      <c r="AA58" s="858"/>
      <c r="AB58" s="858"/>
      <c r="AC58" s="858"/>
      <c r="AD58" s="858"/>
      <c r="AE58" s="858"/>
      <c r="AF58" s="858"/>
      <c r="AG58" s="858"/>
      <c r="AH58" s="858"/>
      <c r="AI58" s="858"/>
      <c r="AJ58" s="858"/>
      <c r="AK58" s="858"/>
      <c r="AL58" s="858"/>
      <c r="AM58" s="858"/>
      <c r="AN58" s="858"/>
      <c r="AO58" s="858"/>
      <c r="AP58" s="858"/>
      <c r="AQ58" s="858"/>
      <c r="AR58" s="858"/>
      <c r="AS58" s="858"/>
      <c r="AT58" s="858"/>
      <c r="AU58" s="858"/>
      <c r="AV58" s="858"/>
      <c r="AW58" s="858"/>
    </row>
    <row r="59" spans="1:49" ht="14.75" x14ac:dyDescent="0.75">
      <c r="A59" s="878"/>
      <c r="B59" s="878"/>
      <c r="C59" s="878"/>
      <c r="D59" s="878"/>
      <c r="E59" s="878"/>
      <c r="F59" s="878"/>
      <c r="G59" s="878"/>
      <c r="H59" s="878"/>
      <c r="I59" s="878"/>
      <c r="J59" s="878"/>
      <c r="K59" s="878"/>
      <c r="L59" s="926"/>
      <c r="M59" s="878"/>
      <c r="N59" s="858"/>
      <c r="O59" s="858"/>
      <c r="P59" s="858"/>
      <c r="R59" s="858"/>
      <c r="S59" s="858"/>
      <c r="T59" s="858"/>
      <c r="U59" s="858"/>
      <c r="V59" s="858"/>
      <c r="W59" s="858"/>
      <c r="X59" s="858"/>
      <c r="Y59" s="858"/>
      <c r="Z59" s="858"/>
      <c r="AA59" s="858"/>
      <c r="AB59" s="858"/>
      <c r="AC59" s="858"/>
      <c r="AD59" s="858"/>
      <c r="AE59" s="858"/>
      <c r="AF59" s="858"/>
      <c r="AG59" s="858"/>
      <c r="AH59" s="858"/>
      <c r="AI59" s="858"/>
      <c r="AJ59" s="858"/>
      <c r="AK59" s="858"/>
      <c r="AL59" s="858"/>
      <c r="AM59" s="858"/>
      <c r="AN59" s="858"/>
      <c r="AO59" s="858"/>
      <c r="AP59" s="858"/>
      <c r="AQ59" s="858"/>
      <c r="AR59" s="858"/>
      <c r="AS59" s="858"/>
      <c r="AT59" s="858"/>
      <c r="AU59" s="858"/>
      <c r="AV59" s="858"/>
      <c r="AW59" s="858"/>
    </row>
    <row r="60" spans="1:49" ht="14.75" x14ac:dyDescent="0.75">
      <c r="A60" s="878"/>
      <c r="B60" s="878"/>
      <c r="C60" s="878"/>
      <c r="D60" s="878"/>
      <c r="E60" s="878"/>
      <c r="F60" s="878"/>
      <c r="G60" s="878"/>
      <c r="H60" s="878"/>
      <c r="I60" s="878"/>
      <c r="J60" s="878"/>
      <c r="K60" s="878"/>
      <c r="L60" s="926"/>
      <c r="M60" s="878"/>
      <c r="N60" s="858"/>
      <c r="O60" s="858"/>
      <c r="P60" s="858"/>
      <c r="R60" s="858"/>
      <c r="S60" s="858"/>
      <c r="T60" s="858"/>
      <c r="U60" s="858"/>
      <c r="V60" s="858"/>
      <c r="W60" s="858"/>
      <c r="X60" s="858"/>
      <c r="Y60" s="858"/>
      <c r="Z60" s="858"/>
      <c r="AA60" s="858"/>
      <c r="AB60" s="858"/>
      <c r="AC60" s="858"/>
      <c r="AD60" s="858"/>
      <c r="AE60" s="858"/>
      <c r="AF60" s="858"/>
      <c r="AG60" s="858"/>
      <c r="AH60" s="858"/>
      <c r="AI60" s="858"/>
      <c r="AJ60" s="858"/>
      <c r="AK60" s="858"/>
      <c r="AL60" s="858"/>
      <c r="AM60" s="858"/>
      <c r="AN60" s="858"/>
      <c r="AO60" s="858"/>
      <c r="AP60" s="858"/>
      <c r="AQ60" s="858"/>
      <c r="AR60" s="858"/>
      <c r="AS60" s="858"/>
      <c r="AT60" s="858"/>
      <c r="AU60" s="858"/>
      <c r="AV60" s="858"/>
      <c r="AW60" s="858"/>
    </row>
    <row r="61" spans="1:49" ht="14.75" x14ac:dyDescent="0.75">
      <c r="A61" s="878"/>
      <c r="B61" s="878"/>
      <c r="C61" s="878"/>
      <c r="D61" s="878"/>
      <c r="E61" s="878"/>
      <c r="F61" s="878"/>
      <c r="G61" s="878"/>
      <c r="H61" s="878"/>
      <c r="I61" s="878"/>
      <c r="J61" s="878"/>
      <c r="K61" s="878"/>
      <c r="L61" s="926"/>
      <c r="M61" s="878"/>
      <c r="N61" s="858"/>
      <c r="O61" s="858"/>
      <c r="P61" s="858"/>
      <c r="R61" s="858"/>
      <c r="S61" s="858"/>
      <c r="T61" s="858"/>
      <c r="U61" s="858"/>
      <c r="V61" s="858"/>
      <c r="W61" s="858"/>
      <c r="X61" s="858"/>
      <c r="Y61" s="858"/>
      <c r="Z61" s="858"/>
      <c r="AA61" s="858"/>
      <c r="AB61" s="858"/>
      <c r="AC61" s="858"/>
      <c r="AD61" s="858"/>
      <c r="AE61" s="858"/>
      <c r="AF61" s="858"/>
      <c r="AG61" s="858"/>
      <c r="AH61" s="858"/>
      <c r="AI61" s="858"/>
      <c r="AJ61" s="858"/>
      <c r="AK61" s="858"/>
      <c r="AL61" s="858"/>
      <c r="AM61" s="858"/>
      <c r="AN61" s="858"/>
      <c r="AO61" s="858"/>
      <c r="AP61" s="858"/>
      <c r="AQ61" s="858"/>
      <c r="AR61" s="858"/>
      <c r="AS61" s="858"/>
      <c r="AT61" s="858"/>
      <c r="AU61" s="858"/>
      <c r="AV61" s="858"/>
      <c r="AW61" s="858"/>
    </row>
    <row r="62" spans="1:49" ht="14.75" x14ac:dyDescent="0.75">
      <c r="A62" s="878"/>
      <c r="B62" s="878"/>
      <c r="C62" s="878"/>
      <c r="D62" s="878"/>
      <c r="E62" s="878"/>
      <c r="F62" s="878"/>
      <c r="G62" s="878"/>
      <c r="H62" s="878"/>
      <c r="I62" s="878"/>
      <c r="J62" s="878"/>
      <c r="K62" s="878"/>
      <c r="L62" s="926"/>
      <c r="M62" s="878"/>
      <c r="N62" s="858"/>
      <c r="O62" s="858"/>
      <c r="P62" s="858"/>
      <c r="R62" s="858"/>
      <c r="S62" s="858"/>
      <c r="T62" s="858"/>
      <c r="U62" s="858"/>
      <c r="V62" s="858"/>
      <c r="W62" s="858"/>
      <c r="X62" s="858"/>
      <c r="Y62" s="858"/>
      <c r="Z62" s="858"/>
      <c r="AA62" s="858"/>
      <c r="AB62" s="858"/>
      <c r="AC62" s="858"/>
      <c r="AD62" s="858"/>
      <c r="AE62" s="858"/>
      <c r="AF62" s="858"/>
      <c r="AG62" s="858"/>
      <c r="AH62" s="858"/>
      <c r="AI62" s="858"/>
      <c r="AJ62" s="858"/>
      <c r="AK62" s="858"/>
      <c r="AL62" s="858"/>
      <c r="AM62" s="858"/>
      <c r="AN62" s="858"/>
      <c r="AO62" s="858"/>
      <c r="AP62" s="858"/>
      <c r="AQ62" s="858"/>
      <c r="AR62" s="858"/>
      <c r="AS62" s="858"/>
      <c r="AT62" s="858"/>
      <c r="AU62" s="858"/>
      <c r="AV62" s="858"/>
      <c r="AW62" s="858"/>
    </row>
    <row r="63" spans="1:49" ht="14.75" x14ac:dyDescent="0.75">
      <c r="A63" s="878"/>
      <c r="B63" s="878"/>
      <c r="C63" s="878"/>
      <c r="D63" s="878"/>
      <c r="E63" s="878"/>
      <c r="F63" s="878"/>
      <c r="G63" s="878"/>
      <c r="H63" s="878"/>
      <c r="I63" s="878"/>
      <c r="J63" s="878"/>
      <c r="K63" s="878"/>
      <c r="L63" s="926"/>
      <c r="M63" s="878"/>
      <c r="N63" s="858"/>
      <c r="O63" s="858"/>
      <c r="P63" s="858"/>
      <c r="R63" s="858"/>
      <c r="S63" s="858"/>
      <c r="T63" s="858"/>
      <c r="U63" s="858"/>
      <c r="V63" s="858"/>
      <c r="W63" s="858"/>
      <c r="X63" s="858"/>
      <c r="Y63" s="858"/>
      <c r="Z63" s="858"/>
      <c r="AA63" s="858"/>
      <c r="AB63" s="858"/>
      <c r="AC63" s="858"/>
      <c r="AD63" s="858"/>
      <c r="AE63" s="858"/>
      <c r="AF63" s="858"/>
      <c r="AG63" s="858"/>
      <c r="AH63" s="858"/>
      <c r="AI63" s="858"/>
      <c r="AJ63" s="858"/>
      <c r="AK63" s="858"/>
      <c r="AL63" s="858"/>
      <c r="AM63" s="858"/>
      <c r="AN63" s="858"/>
      <c r="AO63" s="858"/>
      <c r="AP63" s="858"/>
      <c r="AQ63" s="858"/>
      <c r="AR63" s="858"/>
      <c r="AS63" s="858"/>
      <c r="AT63" s="858"/>
      <c r="AU63" s="858"/>
      <c r="AV63" s="858"/>
      <c r="AW63" s="858"/>
    </row>
    <row r="64" spans="1:49" ht="14.75" x14ac:dyDescent="0.75">
      <c r="A64" s="878"/>
      <c r="B64" s="878"/>
      <c r="C64" s="878"/>
      <c r="D64" s="878"/>
      <c r="E64" s="878"/>
      <c r="F64" s="878"/>
      <c r="G64" s="878"/>
      <c r="H64" s="878"/>
      <c r="I64" s="878"/>
      <c r="J64" s="878"/>
      <c r="K64" s="878"/>
      <c r="L64" s="926"/>
      <c r="M64" s="878"/>
      <c r="N64" s="858"/>
      <c r="O64" s="858"/>
      <c r="P64" s="858"/>
      <c r="R64" s="858"/>
      <c r="S64" s="858"/>
      <c r="T64" s="858"/>
      <c r="U64" s="858"/>
      <c r="V64" s="858"/>
      <c r="W64" s="858"/>
      <c r="X64" s="858"/>
      <c r="Y64" s="858"/>
      <c r="Z64" s="858"/>
      <c r="AA64" s="858"/>
      <c r="AB64" s="858"/>
      <c r="AC64" s="858"/>
      <c r="AD64" s="858"/>
      <c r="AE64" s="858"/>
      <c r="AF64" s="858"/>
      <c r="AG64" s="858"/>
      <c r="AH64" s="858"/>
      <c r="AI64" s="858"/>
      <c r="AJ64" s="858"/>
      <c r="AK64" s="858"/>
      <c r="AL64" s="858"/>
      <c r="AM64" s="858"/>
      <c r="AN64" s="858"/>
      <c r="AO64" s="858"/>
      <c r="AP64" s="858"/>
      <c r="AQ64" s="858"/>
      <c r="AR64" s="858"/>
      <c r="AS64" s="858"/>
      <c r="AT64" s="858"/>
      <c r="AU64" s="858"/>
      <c r="AV64" s="858"/>
      <c r="AW64" s="858"/>
    </row>
    <row r="65" spans="1:49" ht="14.75" x14ac:dyDescent="0.75">
      <c r="A65" s="878"/>
      <c r="B65" s="878"/>
      <c r="C65" s="878"/>
      <c r="D65" s="878"/>
      <c r="E65" s="878"/>
      <c r="F65" s="878"/>
      <c r="G65" s="878"/>
      <c r="H65" s="878"/>
      <c r="I65" s="878"/>
      <c r="J65" s="878"/>
      <c r="K65" s="878"/>
      <c r="L65" s="926"/>
      <c r="M65" s="878"/>
      <c r="N65" s="858"/>
      <c r="O65" s="858"/>
      <c r="P65" s="858"/>
      <c r="R65" s="858"/>
      <c r="S65" s="858"/>
      <c r="T65" s="858"/>
      <c r="U65" s="858"/>
      <c r="V65" s="858"/>
      <c r="W65" s="858"/>
      <c r="X65" s="858"/>
      <c r="Y65" s="858"/>
      <c r="Z65" s="858"/>
      <c r="AA65" s="858"/>
      <c r="AB65" s="858"/>
      <c r="AC65" s="858"/>
      <c r="AD65" s="858"/>
      <c r="AE65" s="858"/>
      <c r="AF65" s="858"/>
      <c r="AG65" s="858"/>
      <c r="AH65" s="858"/>
      <c r="AI65" s="858"/>
      <c r="AJ65" s="858"/>
      <c r="AK65" s="858"/>
      <c r="AL65" s="858"/>
      <c r="AM65" s="858"/>
      <c r="AN65" s="858"/>
      <c r="AO65" s="858"/>
      <c r="AP65" s="858"/>
      <c r="AQ65" s="858"/>
      <c r="AR65" s="858"/>
      <c r="AS65" s="858"/>
      <c r="AT65" s="858"/>
      <c r="AU65" s="858"/>
      <c r="AV65" s="858"/>
      <c r="AW65" s="858"/>
    </row>
    <row r="66" spans="1:49" ht="14.75" x14ac:dyDescent="0.75">
      <c r="A66" s="878"/>
      <c r="B66" s="878"/>
      <c r="C66" s="878"/>
      <c r="D66" s="878"/>
      <c r="E66" s="878"/>
      <c r="F66" s="878"/>
      <c r="G66" s="878"/>
      <c r="H66" s="878"/>
      <c r="I66" s="878"/>
      <c r="J66" s="878"/>
      <c r="K66" s="878"/>
      <c r="L66" s="926"/>
      <c r="M66" s="878"/>
      <c r="N66" s="858"/>
      <c r="O66" s="858"/>
      <c r="P66" s="858"/>
      <c r="R66" s="858"/>
      <c r="S66" s="858"/>
      <c r="T66" s="858"/>
      <c r="U66" s="858"/>
      <c r="V66" s="858"/>
      <c r="W66" s="858"/>
      <c r="X66" s="858"/>
      <c r="Y66" s="858"/>
      <c r="Z66" s="858"/>
      <c r="AA66" s="858"/>
      <c r="AB66" s="858"/>
      <c r="AC66" s="858"/>
      <c r="AD66" s="858"/>
      <c r="AE66" s="858"/>
      <c r="AF66" s="858"/>
      <c r="AG66" s="858"/>
      <c r="AH66" s="858"/>
      <c r="AI66" s="858"/>
      <c r="AJ66" s="858"/>
      <c r="AK66" s="858"/>
      <c r="AL66" s="858"/>
      <c r="AM66" s="858"/>
      <c r="AN66" s="858"/>
      <c r="AO66" s="858"/>
      <c r="AP66" s="858"/>
      <c r="AQ66" s="858"/>
      <c r="AR66" s="858"/>
      <c r="AS66" s="858"/>
      <c r="AT66" s="858"/>
      <c r="AU66" s="858"/>
      <c r="AV66" s="858"/>
      <c r="AW66" s="858"/>
    </row>
    <row r="67" spans="1:49" ht="14.75" x14ac:dyDescent="0.75">
      <c r="A67" s="878"/>
      <c r="B67" s="878"/>
      <c r="C67" s="878"/>
      <c r="D67" s="878"/>
      <c r="E67" s="878"/>
      <c r="F67" s="878"/>
      <c r="G67" s="878"/>
      <c r="H67" s="878"/>
      <c r="I67" s="878"/>
      <c r="J67" s="878"/>
      <c r="K67" s="878"/>
      <c r="L67" s="926"/>
      <c r="M67" s="878"/>
      <c r="N67" s="858"/>
      <c r="O67" s="858"/>
      <c r="P67" s="858"/>
      <c r="R67" s="858"/>
      <c r="S67" s="858"/>
      <c r="T67" s="858"/>
      <c r="U67" s="858"/>
      <c r="V67" s="858"/>
      <c r="W67" s="858"/>
      <c r="X67" s="858"/>
      <c r="Y67" s="858"/>
      <c r="Z67" s="858"/>
      <c r="AA67" s="858"/>
      <c r="AB67" s="858"/>
      <c r="AC67" s="858"/>
      <c r="AD67" s="858"/>
      <c r="AE67" s="858"/>
      <c r="AF67" s="858"/>
      <c r="AG67" s="858"/>
      <c r="AH67" s="858"/>
      <c r="AI67" s="858"/>
      <c r="AJ67" s="858"/>
      <c r="AK67" s="858"/>
      <c r="AL67" s="858"/>
      <c r="AM67" s="858"/>
      <c r="AN67" s="858"/>
      <c r="AO67" s="858"/>
      <c r="AP67" s="858"/>
      <c r="AQ67" s="858"/>
      <c r="AR67" s="858"/>
      <c r="AS67" s="858"/>
      <c r="AT67" s="858"/>
      <c r="AU67" s="858"/>
      <c r="AV67" s="858"/>
      <c r="AW67" s="858"/>
    </row>
    <row r="68" spans="1:49" ht="14.75" x14ac:dyDescent="0.75">
      <c r="A68" s="878"/>
      <c r="B68" s="878"/>
      <c r="C68" s="878"/>
      <c r="D68" s="878"/>
      <c r="E68" s="878"/>
      <c r="F68" s="878"/>
      <c r="G68" s="878"/>
      <c r="H68" s="878"/>
      <c r="I68" s="878"/>
      <c r="J68" s="878"/>
      <c r="K68" s="878"/>
      <c r="L68" s="926"/>
      <c r="M68" s="878"/>
      <c r="N68" s="858"/>
      <c r="O68" s="858"/>
      <c r="P68" s="858"/>
      <c r="R68" s="858"/>
      <c r="S68" s="858"/>
      <c r="T68" s="858"/>
      <c r="U68" s="858"/>
      <c r="V68" s="858"/>
      <c r="W68" s="858"/>
      <c r="X68" s="858"/>
      <c r="Y68" s="858"/>
      <c r="Z68" s="858"/>
      <c r="AA68" s="858"/>
      <c r="AB68" s="858"/>
      <c r="AC68" s="858"/>
      <c r="AD68" s="858"/>
      <c r="AE68" s="858"/>
      <c r="AF68" s="858"/>
      <c r="AG68" s="858"/>
      <c r="AH68" s="858"/>
      <c r="AI68" s="858"/>
      <c r="AJ68" s="858"/>
      <c r="AK68" s="858"/>
      <c r="AL68" s="858"/>
      <c r="AM68" s="858"/>
      <c r="AN68" s="858"/>
      <c r="AO68" s="858"/>
      <c r="AP68" s="858"/>
      <c r="AQ68" s="858"/>
      <c r="AR68" s="858"/>
      <c r="AS68" s="858"/>
      <c r="AT68" s="858"/>
      <c r="AU68" s="858"/>
      <c r="AV68" s="858"/>
      <c r="AW68" s="858"/>
    </row>
    <row r="69" spans="1:49" ht="14.75" x14ac:dyDescent="0.75">
      <c r="A69" s="878"/>
      <c r="B69" s="878"/>
      <c r="C69" s="878"/>
      <c r="D69" s="878"/>
      <c r="E69" s="878"/>
      <c r="F69" s="878"/>
      <c r="G69" s="878"/>
      <c r="H69" s="878"/>
      <c r="I69" s="878"/>
      <c r="J69" s="878"/>
      <c r="K69" s="878"/>
      <c r="L69" s="926"/>
      <c r="M69" s="878"/>
      <c r="N69" s="858"/>
      <c r="O69" s="858"/>
      <c r="P69" s="858"/>
      <c r="R69" s="858"/>
      <c r="S69" s="858"/>
      <c r="T69" s="858"/>
      <c r="U69" s="858"/>
      <c r="V69" s="858"/>
      <c r="W69" s="858"/>
      <c r="X69" s="858"/>
      <c r="Y69" s="858"/>
      <c r="Z69" s="858"/>
      <c r="AA69" s="858"/>
      <c r="AB69" s="858"/>
      <c r="AC69" s="858"/>
      <c r="AD69" s="858"/>
      <c r="AE69" s="858"/>
      <c r="AF69" s="858"/>
      <c r="AG69" s="858"/>
      <c r="AH69" s="858"/>
      <c r="AI69" s="858"/>
      <c r="AJ69" s="858"/>
      <c r="AK69" s="858"/>
      <c r="AL69" s="858"/>
      <c r="AM69" s="858"/>
      <c r="AN69" s="858"/>
      <c r="AO69" s="858"/>
      <c r="AP69" s="858"/>
      <c r="AQ69" s="858"/>
      <c r="AR69" s="858"/>
      <c r="AS69" s="858"/>
      <c r="AT69" s="858"/>
      <c r="AU69" s="858"/>
      <c r="AV69" s="858"/>
      <c r="AW69" s="858"/>
    </row>
    <row r="70" spans="1:49" ht="14.75" x14ac:dyDescent="0.75">
      <c r="A70" s="878"/>
      <c r="B70" s="878"/>
      <c r="C70" s="878"/>
      <c r="D70" s="878"/>
      <c r="E70" s="878"/>
      <c r="F70" s="878"/>
      <c r="G70" s="878"/>
      <c r="H70" s="878"/>
      <c r="I70" s="878"/>
      <c r="J70" s="878"/>
      <c r="K70" s="878"/>
      <c r="L70" s="926"/>
      <c r="M70" s="878"/>
      <c r="N70" s="858"/>
      <c r="O70" s="858"/>
      <c r="P70" s="858"/>
      <c r="R70" s="858"/>
      <c r="S70" s="858"/>
      <c r="T70" s="858"/>
      <c r="U70" s="858"/>
      <c r="V70" s="858"/>
      <c r="W70" s="858"/>
      <c r="X70" s="858"/>
      <c r="Y70" s="858"/>
      <c r="Z70" s="858"/>
      <c r="AA70" s="858"/>
      <c r="AB70" s="858"/>
      <c r="AC70" s="858"/>
      <c r="AD70" s="858"/>
      <c r="AE70" s="858"/>
      <c r="AF70" s="858"/>
      <c r="AG70" s="858"/>
      <c r="AH70" s="858"/>
      <c r="AI70" s="858"/>
      <c r="AJ70" s="858"/>
      <c r="AK70" s="858"/>
      <c r="AL70" s="858"/>
      <c r="AM70" s="858"/>
      <c r="AN70" s="858"/>
      <c r="AO70" s="858"/>
      <c r="AP70" s="858"/>
      <c r="AQ70" s="858"/>
      <c r="AR70" s="858"/>
      <c r="AS70" s="858"/>
      <c r="AT70" s="858"/>
      <c r="AU70" s="858"/>
      <c r="AV70" s="858"/>
      <c r="AW70" s="858"/>
    </row>
    <row r="71" spans="1:49" ht="14.75" x14ac:dyDescent="0.75">
      <c r="A71" s="878"/>
      <c r="B71" s="878"/>
      <c r="C71" s="878"/>
      <c r="D71" s="878"/>
      <c r="E71" s="878"/>
      <c r="F71" s="878"/>
      <c r="G71" s="878"/>
      <c r="H71" s="878"/>
      <c r="I71" s="878"/>
      <c r="J71" s="878"/>
      <c r="K71" s="878"/>
      <c r="L71" s="926"/>
      <c r="M71" s="878"/>
      <c r="N71" s="858"/>
      <c r="O71" s="858"/>
      <c r="P71" s="858"/>
      <c r="R71" s="858"/>
      <c r="S71" s="858"/>
      <c r="T71" s="858"/>
      <c r="U71" s="858"/>
      <c r="V71" s="858"/>
      <c r="W71" s="858"/>
      <c r="X71" s="858"/>
      <c r="Y71" s="858"/>
      <c r="Z71" s="858"/>
      <c r="AA71" s="858"/>
      <c r="AB71" s="858"/>
      <c r="AC71" s="858"/>
      <c r="AD71" s="858"/>
      <c r="AE71" s="858"/>
      <c r="AF71" s="858"/>
      <c r="AG71" s="858"/>
      <c r="AH71" s="858"/>
      <c r="AI71" s="858"/>
      <c r="AJ71" s="858"/>
      <c r="AK71" s="858"/>
      <c r="AL71" s="858"/>
      <c r="AM71" s="858"/>
      <c r="AN71" s="858"/>
      <c r="AO71" s="858"/>
      <c r="AP71" s="858"/>
      <c r="AQ71" s="858"/>
      <c r="AR71" s="858"/>
      <c r="AS71" s="858"/>
      <c r="AT71" s="858"/>
      <c r="AU71" s="858"/>
      <c r="AV71" s="858"/>
      <c r="AW71" s="858"/>
    </row>
    <row r="72" spans="1:49" ht="14.75" x14ac:dyDescent="0.75">
      <c r="A72" s="878"/>
      <c r="B72" s="878"/>
      <c r="C72" s="878"/>
      <c r="D72" s="878"/>
      <c r="E72" s="878"/>
      <c r="F72" s="878"/>
      <c r="G72" s="878"/>
      <c r="H72" s="878"/>
      <c r="I72" s="878"/>
      <c r="J72" s="878"/>
      <c r="K72" s="878"/>
      <c r="L72" s="926"/>
      <c r="M72" s="878"/>
      <c r="N72" s="858"/>
      <c r="O72" s="858"/>
      <c r="P72" s="858"/>
      <c r="R72" s="858"/>
      <c r="S72" s="858"/>
      <c r="T72" s="858"/>
      <c r="U72" s="858"/>
      <c r="V72" s="858"/>
      <c r="W72" s="858"/>
      <c r="X72" s="858"/>
      <c r="Y72" s="858"/>
      <c r="Z72" s="858"/>
      <c r="AA72" s="858"/>
      <c r="AB72" s="858"/>
      <c r="AC72" s="858"/>
      <c r="AD72" s="858"/>
      <c r="AE72" s="858"/>
      <c r="AF72" s="858"/>
      <c r="AG72" s="858"/>
      <c r="AH72" s="858"/>
      <c r="AI72" s="858"/>
      <c r="AJ72" s="858"/>
      <c r="AK72" s="858"/>
      <c r="AL72" s="858"/>
      <c r="AM72" s="858"/>
      <c r="AN72" s="858"/>
      <c r="AO72" s="858"/>
      <c r="AP72" s="858"/>
      <c r="AQ72" s="858"/>
      <c r="AR72" s="858"/>
      <c r="AS72" s="858"/>
      <c r="AT72" s="858"/>
      <c r="AU72" s="858"/>
      <c r="AV72" s="858"/>
      <c r="AW72" s="858"/>
    </row>
    <row r="73" spans="1:49" ht="14.75" x14ac:dyDescent="0.75">
      <c r="A73" s="878"/>
      <c r="B73" s="878"/>
      <c r="C73" s="878"/>
      <c r="D73" s="878"/>
      <c r="E73" s="878"/>
      <c r="F73" s="878"/>
      <c r="G73" s="878"/>
      <c r="H73" s="878"/>
      <c r="I73" s="878"/>
      <c r="J73" s="878"/>
      <c r="K73" s="878"/>
      <c r="L73" s="926"/>
      <c r="M73" s="878"/>
      <c r="N73" s="858"/>
      <c r="O73" s="858"/>
      <c r="P73" s="858"/>
      <c r="R73" s="858"/>
      <c r="S73" s="858"/>
      <c r="T73" s="858"/>
      <c r="U73" s="858"/>
      <c r="V73" s="858"/>
      <c r="W73" s="858"/>
      <c r="X73" s="858"/>
      <c r="Y73" s="858"/>
      <c r="Z73" s="858"/>
      <c r="AA73" s="858"/>
      <c r="AB73" s="858"/>
      <c r="AC73" s="858"/>
      <c r="AD73" s="858"/>
      <c r="AE73" s="858"/>
      <c r="AF73" s="858"/>
      <c r="AG73" s="858"/>
      <c r="AH73" s="858"/>
      <c r="AI73" s="858"/>
      <c r="AJ73" s="858"/>
      <c r="AK73" s="858"/>
      <c r="AL73" s="858"/>
      <c r="AM73" s="858"/>
      <c r="AN73" s="858"/>
      <c r="AO73" s="858"/>
      <c r="AP73" s="858"/>
      <c r="AQ73" s="858"/>
      <c r="AR73" s="858"/>
      <c r="AS73" s="858"/>
      <c r="AT73" s="858"/>
      <c r="AU73" s="858"/>
      <c r="AV73" s="858"/>
      <c r="AW73" s="858"/>
    </row>
    <row r="74" spans="1:49" ht="14.75" x14ac:dyDescent="0.75">
      <c r="A74" s="878"/>
      <c r="B74" s="878"/>
      <c r="C74" s="878"/>
      <c r="D74" s="878"/>
      <c r="E74" s="878"/>
      <c r="F74" s="878"/>
      <c r="G74" s="878"/>
      <c r="H74" s="878"/>
      <c r="I74" s="878"/>
      <c r="J74" s="878"/>
      <c r="K74" s="878"/>
      <c r="L74" s="926"/>
      <c r="M74" s="878"/>
      <c r="N74" s="858"/>
      <c r="O74" s="858"/>
      <c r="P74" s="858"/>
      <c r="R74" s="858"/>
      <c r="S74" s="858"/>
      <c r="T74" s="858"/>
      <c r="U74" s="858"/>
      <c r="V74" s="858"/>
      <c r="W74" s="858"/>
      <c r="X74" s="858"/>
      <c r="Y74" s="858"/>
      <c r="Z74" s="858"/>
      <c r="AA74" s="858"/>
      <c r="AB74" s="858"/>
      <c r="AC74" s="858"/>
      <c r="AD74" s="858"/>
      <c r="AE74" s="858"/>
      <c r="AF74" s="858"/>
      <c r="AG74" s="858"/>
      <c r="AH74" s="858"/>
      <c r="AI74" s="858"/>
      <c r="AJ74" s="858"/>
      <c r="AK74" s="858"/>
      <c r="AL74" s="858"/>
      <c r="AM74" s="858"/>
      <c r="AN74" s="858"/>
      <c r="AO74" s="858"/>
      <c r="AP74" s="858"/>
      <c r="AQ74" s="858"/>
      <c r="AR74" s="858"/>
      <c r="AS74" s="858"/>
      <c r="AT74" s="858"/>
      <c r="AU74" s="858"/>
      <c r="AV74" s="858"/>
      <c r="AW74" s="858"/>
    </row>
    <row r="75" spans="1:49" ht="14.75" x14ac:dyDescent="0.75">
      <c r="A75" s="878"/>
      <c r="B75" s="878"/>
      <c r="C75" s="878"/>
      <c r="D75" s="878"/>
      <c r="E75" s="878"/>
      <c r="F75" s="878"/>
      <c r="G75" s="878"/>
      <c r="H75" s="878"/>
      <c r="I75" s="878"/>
      <c r="J75" s="878"/>
      <c r="K75" s="878"/>
      <c r="L75" s="926"/>
      <c r="M75" s="878"/>
      <c r="N75" s="858"/>
      <c r="O75" s="858"/>
      <c r="P75" s="858"/>
      <c r="R75" s="858"/>
      <c r="S75" s="858"/>
      <c r="T75" s="858"/>
      <c r="U75" s="858"/>
      <c r="V75" s="858"/>
      <c r="W75" s="858"/>
      <c r="X75" s="858"/>
      <c r="Y75" s="858"/>
      <c r="Z75" s="858"/>
      <c r="AA75" s="858"/>
      <c r="AB75" s="858"/>
      <c r="AC75" s="858"/>
      <c r="AD75" s="858"/>
      <c r="AE75" s="858"/>
      <c r="AF75" s="858"/>
      <c r="AG75" s="858"/>
      <c r="AH75" s="858"/>
      <c r="AI75" s="858"/>
      <c r="AJ75" s="858"/>
      <c r="AK75" s="858"/>
      <c r="AL75" s="858"/>
      <c r="AM75" s="858"/>
      <c r="AN75" s="858"/>
      <c r="AO75" s="858"/>
      <c r="AP75" s="858"/>
      <c r="AQ75" s="858"/>
      <c r="AR75" s="858"/>
      <c r="AS75" s="858"/>
      <c r="AT75" s="858"/>
      <c r="AU75" s="858"/>
      <c r="AV75" s="858"/>
      <c r="AW75" s="858"/>
    </row>
    <row r="76" spans="1:49" ht="14.75" x14ac:dyDescent="0.75">
      <c r="A76" s="878"/>
      <c r="B76" s="878"/>
      <c r="C76" s="878"/>
      <c r="D76" s="878"/>
      <c r="E76" s="878"/>
      <c r="F76" s="878"/>
      <c r="G76" s="878"/>
      <c r="H76" s="878"/>
      <c r="I76" s="878"/>
      <c r="J76" s="878"/>
      <c r="K76" s="878"/>
      <c r="L76" s="926"/>
      <c r="M76" s="878"/>
      <c r="N76" s="858"/>
      <c r="O76" s="858"/>
      <c r="P76" s="858"/>
      <c r="R76" s="858"/>
      <c r="S76" s="858"/>
      <c r="T76" s="858"/>
      <c r="U76" s="858"/>
      <c r="V76" s="858"/>
      <c r="W76" s="858"/>
      <c r="X76" s="858"/>
      <c r="Y76" s="858"/>
      <c r="Z76" s="858"/>
      <c r="AA76" s="858"/>
      <c r="AB76" s="858"/>
      <c r="AC76" s="858"/>
      <c r="AD76" s="858"/>
      <c r="AE76" s="858"/>
      <c r="AF76" s="858"/>
      <c r="AG76" s="858"/>
      <c r="AH76" s="858"/>
      <c r="AI76" s="858"/>
      <c r="AJ76" s="858"/>
      <c r="AK76" s="858"/>
      <c r="AL76" s="858"/>
      <c r="AM76" s="858"/>
      <c r="AN76" s="858"/>
      <c r="AO76" s="858"/>
      <c r="AP76" s="858"/>
      <c r="AQ76" s="858"/>
      <c r="AR76" s="858"/>
      <c r="AS76" s="858"/>
      <c r="AT76" s="858"/>
      <c r="AU76" s="858"/>
      <c r="AV76" s="858"/>
      <c r="AW76" s="858"/>
    </row>
    <row r="77" spans="1:49" ht="14.75" x14ac:dyDescent="0.75">
      <c r="A77" s="878"/>
      <c r="B77" s="878"/>
      <c r="C77" s="878"/>
      <c r="D77" s="878"/>
      <c r="E77" s="878"/>
      <c r="F77" s="878"/>
      <c r="G77" s="878"/>
      <c r="H77" s="878"/>
      <c r="I77" s="878"/>
      <c r="J77" s="878"/>
      <c r="K77" s="878"/>
      <c r="L77" s="926"/>
      <c r="M77" s="878"/>
      <c r="N77" s="858"/>
      <c r="O77" s="858"/>
      <c r="P77" s="858"/>
      <c r="R77" s="858"/>
      <c r="S77" s="858"/>
      <c r="T77" s="858"/>
      <c r="U77" s="858"/>
      <c r="V77" s="858"/>
      <c r="W77" s="858"/>
      <c r="X77" s="858"/>
      <c r="Y77" s="858"/>
      <c r="Z77" s="858"/>
      <c r="AA77" s="858"/>
      <c r="AB77" s="858"/>
      <c r="AC77" s="858"/>
      <c r="AD77" s="858"/>
      <c r="AE77" s="858"/>
      <c r="AF77" s="858"/>
      <c r="AG77" s="858"/>
      <c r="AH77" s="858"/>
      <c r="AI77" s="858"/>
      <c r="AJ77" s="858"/>
      <c r="AK77" s="858"/>
      <c r="AL77" s="858"/>
      <c r="AM77" s="858"/>
      <c r="AN77" s="858"/>
      <c r="AO77" s="858"/>
      <c r="AP77" s="858"/>
      <c r="AQ77" s="858"/>
      <c r="AR77" s="858"/>
      <c r="AS77" s="858"/>
      <c r="AT77" s="858"/>
      <c r="AU77" s="858"/>
      <c r="AV77" s="858"/>
      <c r="AW77" s="858"/>
    </row>
    <row r="78" spans="1:49" ht="14.75" x14ac:dyDescent="0.75">
      <c r="A78" s="878"/>
      <c r="B78" s="878"/>
      <c r="C78" s="878"/>
      <c r="D78" s="878"/>
      <c r="E78" s="878"/>
      <c r="F78" s="878"/>
      <c r="G78" s="878"/>
      <c r="H78" s="878"/>
      <c r="I78" s="878"/>
      <c r="J78" s="878"/>
      <c r="K78" s="878"/>
      <c r="L78" s="926"/>
      <c r="M78" s="878"/>
      <c r="N78" s="858"/>
      <c r="O78" s="858"/>
      <c r="P78" s="858"/>
      <c r="R78" s="858"/>
      <c r="S78" s="858"/>
      <c r="T78" s="858"/>
      <c r="U78" s="858"/>
      <c r="V78" s="858"/>
      <c r="W78" s="858"/>
      <c r="X78" s="858"/>
      <c r="Y78" s="858"/>
      <c r="Z78" s="858"/>
      <c r="AA78" s="858"/>
      <c r="AB78" s="858"/>
      <c r="AC78" s="858"/>
      <c r="AD78" s="858"/>
      <c r="AE78" s="858"/>
      <c r="AF78" s="858"/>
      <c r="AG78" s="858"/>
      <c r="AH78" s="858"/>
      <c r="AI78" s="858"/>
      <c r="AJ78" s="858"/>
      <c r="AK78" s="858"/>
      <c r="AL78" s="858"/>
      <c r="AM78" s="858"/>
      <c r="AN78" s="858"/>
      <c r="AO78" s="858"/>
      <c r="AP78" s="858"/>
      <c r="AQ78" s="858"/>
      <c r="AR78" s="858"/>
      <c r="AS78" s="858"/>
      <c r="AT78" s="858"/>
      <c r="AU78" s="858"/>
      <c r="AV78" s="858"/>
      <c r="AW78" s="858"/>
    </row>
    <row r="79" spans="1:49" ht="14.75" x14ac:dyDescent="0.75">
      <c r="A79" s="878"/>
      <c r="B79" s="878"/>
      <c r="C79" s="878"/>
      <c r="D79" s="878"/>
      <c r="E79" s="878"/>
      <c r="F79" s="878"/>
      <c r="G79" s="878"/>
      <c r="H79" s="878"/>
      <c r="I79" s="878"/>
      <c r="J79" s="878"/>
      <c r="K79" s="878"/>
      <c r="L79" s="926"/>
      <c r="M79" s="878"/>
      <c r="N79" s="858"/>
      <c r="O79" s="858"/>
      <c r="P79" s="858"/>
      <c r="R79" s="858"/>
      <c r="S79" s="858"/>
      <c r="T79" s="858"/>
      <c r="U79" s="858"/>
      <c r="V79" s="858"/>
      <c r="W79" s="858"/>
      <c r="X79" s="858"/>
      <c r="Y79" s="858"/>
      <c r="Z79" s="858"/>
      <c r="AA79" s="858"/>
      <c r="AB79" s="858"/>
      <c r="AC79" s="858"/>
      <c r="AD79" s="858"/>
      <c r="AE79" s="858"/>
      <c r="AF79" s="858"/>
      <c r="AG79" s="858"/>
      <c r="AH79" s="858"/>
      <c r="AI79" s="858"/>
      <c r="AJ79" s="858"/>
      <c r="AK79" s="858"/>
      <c r="AL79" s="858"/>
      <c r="AM79" s="858"/>
      <c r="AN79" s="858"/>
      <c r="AO79" s="858"/>
      <c r="AP79" s="858"/>
      <c r="AQ79" s="858"/>
      <c r="AR79" s="858"/>
      <c r="AS79" s="858"/>
      <c r="AT79" s="858"/>
      <c r="AU79" s="858"/>
      <c r="AV79" s="858"/>
      <c r="AW79" s="858"/>
    </row>
    <row r="80" spans="1:49" ht="14.75" x14ac:dyDescent="0.75">
      <c r="A80" s="878"/>
      <c r="B80" s="878"/>
      <c r="C80" s="878"/>
      <c r="D80" s="878"/>
      <c r="E80" s="878"/>
      <c r="F80" s="878"/>
      <c r="G80" s="878"/>
      <c r="H80" s="878"/>
      <c r="I80" s="878"/>
      <c r="J80" s="878"/>
      <c r="K80" s="878"/>
      <c r="L80" s="926"/>
      <c r="M80" s="878"/>
      <c r="N80" s="858"/>
      <c r="O80" s="858"/>
      <c r="P80" s="858"/>
      <c r="R80" s="858"/>
      <c r="S80" s="858"/>
      <c r="T80" s="858"/>
      <c r="U80" s="858"/>
      <c r="V80" s="858"/>
      <c r="W80" s="858"/>
      <c r="X80" s="858"/>
      <c r="Y80" s="858"/>
      <c r="Z80" s="858"/>
      <c r="AA80" s="858"/>
      <c r="AB80" s="858"/>
      <c r="AC80" s="858"/>
      <c r="AD80" s="858"/>
      <c r="AE80" s="858"/>
      <c r="AF80" s="858"/>
      <c r="AG80" s="858"/>
      <c r="AH80" s="858"/>
      <c r="AI80" s="858"/>
      <c r="AJ80" s="858"/>
      <c r="AK80" s="858"/>
      <c r="AL80" s="858"/>
      <c r="AM80" s="858"/>
      <c r="AN80" s="858"/>
      <c r="AO80" s="858"/>
      <c r="AP80" s="858"/>
      <c r="AQ80" s="858"/>
      <c r="AR80" s="858"/>
      <c r="AS80" s="858"/>
      <c r="AT80" s="858"/>
      <c r="AU80" s="858"/>
      <c r="AV80" s="858"/>
      <c r="AW80" s="858"/>
    </row>
    <row r="81" spans="1:49" ht="14.75" x14ac:dyDescent="0.75">
      <c r="A81" s="878"/>
      <c r="B81" s="878"/>
      <c r="C81" s="878"/>
      <c r="D81" s="878"/>
      <c r="E81" s="878"/>
      <c r="F81" s="878"/>
      <c r="G81" s="878"/>
      <c r="H81" s="878"/>
      <c r="I81" s="878"/>
      <c r="J81" s="878"/>
      <c r="K81" s="878"/>
      <c r="L81" s="926"/>
      <c r="M81" s="878"/>
      <c r="N81" s="858"/>
      <c r="O81" s="858"/>
      <c r="P81" s="858"/>
      <c r="R81" s="858"/>
      <c r="S81" s="858"/>
      <c r="T81" s="858"/>
      <c r="U81" s="858"/>
      <c r="V81" s="858"/>
      <c r="W81" s="858"/>
      <c r="X81" s="858"/>
      <c r="Y81" s="858"/>
      <c r="Z81" s="858"/>
      <c r="AA81" s="858"/>
      <c r="AB81" s="858"/>
      <c r="AC81" s="858"/>
      <c r="AD81" s="858"/>
      <c r="AE81" s="858"/>
      <c r="AF81" s="858"/>
      <c r="AG81" s="858"/>
      <c r="AH81" s="858"/>
      <c r="AI81" s="858"/>
      <c r="AJ81" s="858"/>
      <c r="AK81" s="858"/>
      <c r="AL81" s="858"/>
      <c r="AM81" s="858"/>
      <c r="AN81" s="858"/>
      <c r="AO81" s="858"/>
      <c r="AP81" s="858"/>
      <c r="AQ81" s="858"/>
      <c r="AR81" s="858"/>
      <c r="AS81" s="858"/>
      <c r="AT81" s="858"/>
      <c r="AU81" s="858"/>
      <c r="AV81" s="858"/>
      <c r="AW81" s="858"/>
    </row>
    <row r="82" spans="1:49" ht="14.75" x14ac:dyDescent="0.75">
      <c r="A82" s="878"/>
      <c r="B82" s="878"/>
      <c r="C82" s="878"/>
      <c r="D82" s="878"/>
      <c r="E82" s="878"/>
      <c r="F82" s="878"/>
      <c r="G82" s="878"/>
      <c r="H82" s="878"/>
      <c r="I82" s="878"/>
      <c r="J82" s="878"/>
      <c r="K82" s="878"/>
      <c r="L82" s="926"/>
      <c r="M82" s="878"/>
      <c r="N82" s="858"/>
      <c r="O82" s="858"/>
      <c r="P82" s="858"/>
      <c r="R82" s="858"/>
      <c r="S82" s="858"/>
      <c r="T82" s="858"/>
      <c r="U82" s="858"/>
      <c r="V82" s="858"/>
      <c r="W82" s="858"/>
      <c r="X82" s="858"/>
      <c r="Y82" s="858"/>
      <c r="Z82" s="858"/>
      <c r="AA82" s="858"/>
      <c r="AB82" s="858"/>
      <c r="AC82" s="858"/>
      <c r="AD82" s="858"/>
      <c r="AE82" s="858"/>
      <c r="AF82" s="858"/>
      <c r="AG82" s="858"/>
      <c r="AH82" s="858"/>
      <c r="AI82" s="858"/>
      <c r="AJ82" s="858"/>
      <c r="AK82" s="858"/>
      <c r="AL82" s="858"/>
      <c r="AM82" s="858"/>
      <c r="AN82" s="858"/>
      <c r="AO82" s="858"/>
      <c r="AP82" s="858"/>
      <c r="AQ82" s="858"/>
      <c r="AR82" s="858"/>
      <c r="AS82" s="858"/>
      <c r="AT82" s="858"/>
      <c r="AU82" s="858"/>
      <c r="AV82" s="858"/>
      <c r="AW82" s="858"/>
    </row>
    <row r="83" spans="1:49" ht="14.75" x14ac:dyDescent="0.75">
      <c r="A83" s="878"/>
      <c r="B83" s="878"/>
      <c r="C83" s="878"/>
      <c r="D83" s="878"/>
      <c r="E83" s="878"/>
      <c r="F83" s="878"/>
      <c r="G83" s="878"/>
      <c r="H83" s="878"/>
      <c r="I83" s="878"/>
      <c r="J83" s="878"/>
      <c r="K83" s="878"/>
      <c r="L83" s="926"/>
      <c r="M83" s="878"/>
      <c r="N83" s="858"/>
      <c r="O83" s="858"/>
      <c r="P83" s="858"/>
      <c r="R83" s="858"/>
      <c r="S83" s="858"/>
      <c r="T83" s="858"/>
      <c r="U83" s="858"/>
      <c r="V83" s="858"/>
      <c r="W83" s="858"/>
      <c r="X83" s="858"/>
      <c r="Y83" s="858"/>
      <c r="Z83" s="858"/>
      <c r="AA83" s="858"/>
      <c r="AB83" s="858"/>
      <c r="AC83" s="858"/>
      <c r="AD83" s="858"/>
      <c r="AE83" s="858"/>
      <c r="AF83" s="858"/>
      <c r="AG83" s="858"/>
      <c r="AH83" s="858"/>
      <c r="AI83" s="858"/>
      <c r="AJ83" s="858"/>
      <c r="AK83" s="858"/>
      <c r="AL83" s="858"/>
      <c r="AM83" s="858"/>
      <c r="AN83" s="858"/>
      <c r="AO83" s="858"/>
      <c r="AP83" s="858"/>
      <c r="AQ83" s="858"/>
      <c r="AR83" s="858"/>
      <c r="AS83" s="858"/>
      <c r="AT83" s="858"/>
      <c r="AU83" s="858"/>
      <c r="AV83" s="858"/>
      <c r="AW83" s="858"/>
    </row>
    <row r="84" spans="1:49" ht="14.75" x14ac:dyDescent="0.75">
      <c r="A84" s="878"/>
      <c r="B84" s="878"/>
      <c r="C84" s="878"/>
      <c r="D84" s="878"/>
      <c r="E84" s="878"/>
      <c r="F84" s="878"/>
      <c r="G84" s="878"/>
      <c r="H84" s="878"/>
      <c r="I84" s="878"/>
      <c r="J84" s="878"/>
      <c r="K84" s="878"/>
      <c r="L84" s="926"/>
      <c r="M84" s="878"/>
      <c r="N84" s="858"/>
      <c r="O84" s="858"/>
      <c r="P84" s="858"/>
      <c r="R84" s="858"/>
      <c r="S84" s="858"/>
      <c r="T84" s="858"/>
      <c r="U84" s="858"/>
      <c r="V84" s="858"/>
      <c r="W84" s="858"/>
      <c r="X84" s="858"/>
      <c r="Y84" s="858"/>
      <c r="Z84" s="858"/>
      <c r="AA84" s="858"/>
      <c r="AB84" s="858"/>
      <c r="AC84" s="858"/>
      <c r="AD84" s="858"/>
      <c r="AE84" s="858"/>
      <c r="AF84" s="858"/>
      <c r="AG84" s="858"/>
      <c r="AH84" s="858"/>
      <c r="AI84" s="858"/>
      <c r="AJ84" s="858"/>
      <c r="AK84" s="858"/>
      <c r="AL84" s="858"/>
      <c r="AM84" s="858"/>
      <c r="AN84" s="858"/>
      <c r="AO84" s="858"/>
      <c r="AP84" s="858"/>
      <c r="AQ84" s="858"/>
      <c r="AR84" s="858"/>
      <c r="AS84" s="858"/>
      <c r="AT84" s="858"/>
      <c r="AU84" s="858"/>
      <c r="AV84" s="858"/>
      <c r="AW84" s="858"/>
    </row>
    <row r="85" spans="1:49" ht="14.75" x14ac:dyDescent="0.75">
      <c r="A85" s="878"/>
      <c r="B85" s="878"/>
      <c r="C85" s="878"/>
      <c r="D85" s="878"/>
      <c r="E85" s="878"/>
      <c r="F85" s="878"/>
      <c r="G85" s="878"/>
      <c r="H85" s="878"/>
      <c r="I85" s="878"/>
      <c r="J85" s="878"/>
      <c r="K85" s="878"/>
      <c r="L85" s="926"/>
      <c r="M85" s="878"/>
      <c r="N85" s="858"/>
      <c r="O85" s="858"/>
      <c r="P85" s="858"/>
      <c r="R85" s="858"/>
      <c r="S85" s="858"/>
      <c r="T85" s="858"/>
      <c r="U85" s="858"/>
      <c r="V85" s="858"/>
      <c r="W85" s="858"/>
      <c r="X85" s="858"/>
      <c r="Y85" s="858"/>
      <c r="Z85" s="858"/>
      <c r="AA85" s="858"/>
      <c r="AB85" s="858"/>
      <c r="AC85" s="858"/>
      <c r="AD85" s="858"/>
      <c r="AE85" s="858"/>
      <c r="AF85" s="858"/>
      <c r="AG85" s="858"/>
      <c r="AH85" s="858"/>
      <c r="AI85" s="858"/>
      <c r="AJ85" s="858"/>
      <c r="AK85" s="858"/>
      <c r="AL85" s="858"/>
      <c r="AM85" s="858"/>
      <c r="AN85" s="858"/>
      <c r="AO85" s="858"/>
      <c r="AP85" s="858"/>
      <c r="AQ85" s="858"/>
      <c r="AR85" s="858"/>
      <c r="AS85" s="858"/>
      <c r="AT85" s="858"/>
      <c r="AU85" s="858"/>
      <c r="AV85" s="858"/>
      <c r="AW85" s="858"/>
    </row>
    <row r="86" spans="1:49" ht="14.75" x14ac:dyDescent="0.75">
      <c r="A86" s="878"/>
      <c r="B86" s="878"/>
      <c r="C86" s="878"/>
      <c r="D86" s="878"/>
      <c r="E86" s="878"/>
      <c r="F86" s="878"/>
      <c r="G86" s="878"/>
      <c r="H86" s="878"/>
      <c r="I86" s="878"/>
      <c r="J86" s="878"/>
      <c r="K86" s="878"/>
      <c r="L86" s="926"/>
      <c r="M86" s="878"/>
      <c r="N86" s="858"/>
      <c r="O86" s="858"/>
      <c r="P86" s="858"/>
      <c r="R86" s="858"/>
      <c r="S86" s="858"/>
      <c r="T86" s="858"/>
      <c r="U86" s="858"/>
      <c r="V86" s="858"/>
      <c r="W86" s="858"/>
      <c r="X86" s="858"/>
      <c r="Y86" s="858"/>
      <c r="Z86" s="858"/>
      <c r="AA86" s="858"/>
      <c r="AB86" s="858"/>
      <c r="AC86" s="858"/>
      <c r="AD86" s="858"/>
      <c r="AE86" s="858"/>
      <c r="AF86" s="858"/>
      <c r="AG86" s="858"/>
      <c r="AH86" s="858"/>
      <c r="AI86" s="858"/>
      <c r="AJ86" s="858"/>
      <c r="AK86" s="858"/>
      <c r="AL86" s="858"/>
      <c r="AM86" s="858"/>
      <c r="AN86" s="858"/>
      <c r="AO86" s="858"/>
      <c r="AP86" s="858"/>
      <c r="AQ86" s="858"/>
      <c r="AR86" s="858"/>
      <c r="AS86" s="858"/>
      <c r="AT86" s="858"/>
      <c r="AU86" s="858"/>
      <c r="AV86" s="858"/>
      <c r="AW86" s="858"/>
    </row>
    <row r="87" spans="1:49" ht="14.75" x14ac:dyDescent="0.75">
      <c r="A87" s="878"/>
      <c r="B87" s="878"/>
      <c r="C87" s="878"/>
      <c r="D87" s="878"/>
      <c r="E87" s="878"/>
      <c r="F87" s="878"/>
      <c r="G87" s="878"/>
      <c r="H87" s="878"/>
      <c r="I87" s="878"/>
      <c r="J87" s="878"/>
      <c r="K87" s="878"/>
      <c r="L87" s="926"/>
      <c r="M87" s="878"/>
      <c r="N87" s="858"/>
      <c r="O87" s="858"/>
      <c r="P87" s="858"/>
      <c r="R87" s="858"/>
      <c r="S87" s="858"/>
      <c r="T87" s="858"/>
      <c r="U87" s="858"/>
      <c r="V87" s="858"/>
      <c r="W87" s="858"/>
      <c r="X87" s="858"/>
      <c r="Y87" s="858"/>
      <c r="Z87" s="858"/>
      <c r="AA87" s="858"/>
      <c r="AB87" s="858"/>
      <c r="AC87" s="858"/>
      <c r="AD87" s="858"/>
      <c r="AE87" s="858"/>
      <c r="AF87" s="858"/>
      <c r="AG87" s="858"/>
      <c r="AH87" s="858"/>
      <c r="AI87" s="858"/>
      <c r="AJ87" s="858"/>
      <c r="AK87" s="858"/>
      <c r="AL87" s="858"/>
      <c r="AM87" s="858"/>
      <c r="AN87" s="858"/>
      <c r="AO87" s="858"/>
      <c r="AP87" s="858"/>
      <c r="AQ87" s="858"/>
      <c r="AR87" s="858"/>
      <c r="AS87" s="858"/>
      <c r="AT87" s="858"/>
      <c r="AU87" s="858"/>
      <c r="AV87" s="858"/>
      <c r="AW87" s="858"/>
    </row>
    <row r="88" spans="1:49" ht="14.75" x14ac:dyDescent="0.75">
      <c r="A88" s="878"/>
      <c r="B88" s="878"/>
      <c r="C88" s="878"/>
      <c r="D88" s="878"/>
      <c r="E88" s="878"/>
      <c r="F88" s="878"/>
      <c r="G88" s="878"/>
      <c r="H88" s="878"/>
      <c r="I88" s="878"/>
      <c r="J88" s="878"/>
      <c r="K88" s="878"/>
      <c r="L88" s="926"/>
      <c r="M88" s="878"/>
      <c r="N88" s="858"/>
      <c r="O88" s="858"/>
      <c r="P88" s="858"/>
      <c r="R88" s="858"/>
      <c r="S88" s="858"/>
      <c r="T88" s="858"/>
      <c r="U88" s="858"/>
      <c r="V88" s="858"/>
      <c r="W88" s="858"/>
      <c r="X88" s="858"/>
      <c r="Y88" s="858"/>
      <c r="Z88" s="858"/>
      <c r="AA88" s="858"/>
      <c r="AB88" s="858"/>
      <c r="AC88" s="858"/>
      <c r="AD88" s="858"/>
      <c r="AE88" s="858"/>
      <c r="AF88" s="858"/>
      <c r="AG88" s="858"/>
      <c r="AH88" s="858"/>
      <c r="AI88" s="858"/>
      <c r="AJ88" s="858"/>
      <c r="AK88" s="858"/>
      <c r="AL88" s="858"/>
      <c r="AM88" s="858"/>
      <c r="AN88" s="858"/>
      <c r="AO88" s="858"/>
      <c r="AP88" s="858"/>
      <c r="AQ88" s="858"/>
      <c r="AR88" s="858"/>
      <c r="AS88" s="858"/>
      <c r="AT88" s="858"/>
      <c r="AU88" s="858"/>
      <c r="AV88" s="858"/>
      <c r="AW88" s="858"/>
    </row>
    <row r="89" spans="1:49" ht="14.75" x14ac:dyDescent="0.75">
      <c r="A89" s="878"/>
      <c r="B89" s="878"/>
      <c r="C89" s="878"/>
      <c r="D89" s="878"/>
      <c r="E89" s="878"/>
      <c r="F89" s="878"/>
      <c r="G89" s="878"/>
      <c r="H89" s="878"/>
      <c r="I89" s="878"/>
      <c r="J89" s="878"/>
      <c r="K89" s="878"/>
      <c r="L89" s="926"/>
      <c r="M89" s="878"/>
      <c r="N89" s="858"/>
      <c r="O89" s="858"/>
      <c r="P89" s="858"/>
      <c r="R89" s="858"/>
      <c r="S89" s="858"/>
      <c r="T89" s="858"/>
      <c r="U89" s="858"/>
      <c r="V89" s="858"/>
      <c r="W89" s="858"/>
      <c r="X89" s="858"/>
      <c r="Y89" s="858"/>
      <c r="Z89" s="858"/>
      <c r="AA89" s="858"/>
      <c r="AB89" s="858"/>
      <c r="AC89" s="858"/>
      <c r="AD89" s="858"/>
      <c r="AE89" s="858"/>
      <c r="AF89" s="858"/>
      <c r="AG89" s="858"/>
      <c r="AH89" s="858"/>
      <c r="AI89" s="858"/>
      <c r="AJ89" s="858"/>
      <c r="AK89" s="858"/>
      <c r="AL89" s="858"/>
      <c r="AM89" s="858"/>
      <c r="AN89" s="858"/>
      <c r="AO89" s="858"/>
      <c r="AP89" s="858"/>
      <c r="AQ89" s="858"/>
      <c r="AR89" s="858"/>
      <c r="AS89" s="858"/>
      <c r="AT89" s="858"/>
      <c r="AU89" s="858"/>
      <c r="AV89" s="858"/>
      <c r="AW89" s="858"/>
    </row>
    <row r="90" spans="1:49" ht="14.75" x14ac:dyDescent="0.75">
      <c r="A90" s="878"/>
      <c r="B90" s="878"/>
      <c r="C90" s="878"/>
      <c r="D90" s="878"/>
      <c r="E90" s="878"/>
      <c r="F90" s="878"/>
      <c r="G90" s="878"/>
      <c r="H90" s="878"/>
      <c r="I90" s="878"/>
      <c r="J90" s="878"/>
      <c r="K90" s="878"/>
      <c r="L90" s="926"/>
      <c r="M90" s="878"/>
      <c r="N90" s="858"/>
      <c r="O90" s="858"/>
      <c r="P90" s="858"/>
      <c r="R90" s="858"/>
      <c r="S90" s="858"/>
      <c r="T90" s="858"/>
      <c r="U90" s="858"/>
      <c r="V90" s="858"/>
      <c r="W90" s="858"/>
      <c r="X90" s="858"/>
      <c r="Y90" s="858"/>
      <c r="Z90" s="858"/>
      <c r="AA90" s="858"/>
      <c r="AB90" s="858"/>
      <c r="AC90" s="858"/>
      <c r="AD90" s="858"/>
      <c r="AE90" s="858"/>
      <c r="AF90" s="858"/>
      <c r="AG90" s="858"/>
      <c r="AH90" s="858"/>
      <c r="AI90" s="858"/>
      <c r="AJ90" s="858"/>
      <c r="AK90" s="858"/>
      <c r="AL90" s="858"/>
      <c r="AM90" s="858"/>
      <c r="AN90" s="858"/>
      <c r="AO90" s="858"/>
      <c r="AP90" s="858"/>
      <c r="AQ90" s="858"/>
      <c r="AR90" s="858"/>
      <c r="AS90" s="858"/>
      <c r="AT90" s="858"/>
      <c r="AU90" s="858"/>
      <c r="AV90" s="858"/>
      <c r="AW90" s="858"/>
    </row>
    <row r="91" spans="1:49" ht="14.75" x14ac:dyDescent="0.75">
      <c r="A91" s="878"/>
      <c r="B91" s="878"/>
      <c r="C91" s="878"/>
      <c r="D91" s="878"/>
      <c r="E91" s="878"/>
      <c r="F91" s="878"/>
      <c r="G91" s="878"/>
      <c r="H91" s="878"/>
      <c r="I91" s="878"/>
      <c r="J91" s="878"/>
      <c r="K91" s="878"/>
      <c r="L91" s="926"/>
      <c r="M91" s="878"/>
      <c r="N91" s="858"/>
      <c r="O91" s="858"/>
      <c r="P91" s="858"/>
      <c r="R91" s="858"/>
      <c r="S91" s="858"/>
      <c r="T91" s="858"/>
      <c r="U91" s="858"/>
      <c r="V91" s="858"/>
      <c r="W91" s="858"/>
      <c r="X91" s="858"/>
      <c r="Y91" s="858"/>
      <c r="Z91" s="858"/>
      <c r="AA91" s="858"/>
      <c r="AB91" s="858"/>
      <c r="AC91" s="858"/>
      <c r="AD91" s="858"/>
      <c r="AE91" s="858"/>
      <c r="AF91" s="858"/>
      <c r="AG91" s="858"/>
      <c r="AH91" s="858"/>
      <c r="AI91" s="858"/>
      <c r="AJ91" s="858"/>
      <c r="AK91" s="858"/>
      <c r="AL91" s="858"/>
      <c r="AM91" s="858"/>
      <c r="AN91" s="858"/>
      <c r="AO91" s="858"/>
      <c r="AP91" s="858"/>
      <c r="AQ91" s="858"/>
      <c r="AR91" s="858"/>
      <c r="AS91" s="858"/>
      <c r="AT91" s="858"/>
      <c r="AU91" s="858"/>
      <c r="AV91" s="858"/>
      <c r="AW91" s="858"/>
    </row>
    <row r="92" spans="1:49" ht="14.75" x14ac:dyDescent="0.75">
      <c r="A92" s="878"/>
      <c r="B92" s="878"/>
      <c r="C92" s="878"/>
      <c r="D92" s="878"/>
      <c r="E92" s="878"/>
      <c r="F92" s="878"/>
      <c r="G92" s="878"/>
      <c r="H92" s="878"/>
      <c r="I92" s="878"/>
      <c r="J92" s="878"/>
      <c r="K92" s="878"/>
      <c r="L92" s="926"/>
      <c r="M92" s="878"/>
      <c r="N92" s="858"/>
      <c r="O92" s="858"/>
      <c r="P92" s="858"/>
      <c r="R92" s="858"/>
      <c r="S92" s="858"/>
      <c r="T92" s="858"/>
      <c r="U92" s="858"/>
      <c r="V92" s="858"/>
      <c r="W92" s="858"/>
    </row>
    <row r="93" spans="1:49" ht="14.75" x14ac:dyDescent="0.75">
      <c r="A93" s="878"/>
      <c r="B93" s="878"/>
      <c r="C93" s="878"/>
      <c r="D93" s="878"/>
      <c r="E93" s="878"/>
      <c r="F93" s="878"/>
      <c r="G93" s="878"/>
      <c r="H93" s="878"/>
      <c r="I93" s="878"/>
      <c r="J93" s="878"/>
      <c r="K93" s="878"/>
      <c r="L93" s="926"/>
      <c r="M93" s="878"/>
      <c r="N93" s="858"/>
      <c r="O93" s="858"/>
      <c r="P93" s="858"/>
      <c r="R93" s="858"/>
      <c r="S93" s="858"/>
      <c r="T93" s="858"/>
      <c r="U93" s="858"/>
      <c r="V93" s="858"/>
      <c r="W93" s="858"/>
    </row>
    <row r="94" spans="1:49" ht="14.75" x14ac:dyDescent="0.75">
      <c r="A94" s="878"/>
      <c r="B94" s="878"/>
      <c r="C94" s="878"/>
      <c r="D94" s="878"/>
      <c r="E94" s="878"/>
      <c r="F94" s="878"/>
      <c r="G94" s="878"/>
      <c r="H94" s="878"/>
      <c r="I94" s="878"/>
      <c r="J94" s="878"/>
      <c r="K94" s="878"/>
      <c r="L94" s="926"/>
      <c r="M94" s="878"/>
      <c r="N94" s="858"/>
      <c r="O94" s="858"/>
      <c r="P94" s="858"/>
      <c r="R94" s="858"/>
      <c r="S94" s="858"/>
      <c r="T94" s="858"/>
      <c r="U94" s="858"/>
      <c r="V94" s="858"/>
      <c r="W94" s="858"/>
    </row>
    <row r="95" spans="1:49" ht="14.75" x14ac:dyDescent="0.75">
      <c r="A95" s="878"/>
      <c r="B95" s="878"/>
      <c r="C95" s="878"/>
      <c r="D95" s="878"/>
      <c r="E95" s="878"/>
      <c r="F95" s="878"/>
      <c r="G95" s="878"/>
      <c r="H95" s="878"/>
      <c r="I95" s="878"/>
      <c r="J95" s="878"/>
      <c r="K95" s="878"/>
      <c r="L95" s="926"/>
      <c r="M95" s="878"/>
      <c r="N95" s="858"/>
      <c r="O95" s="858"/>
      <c r="P95" s="858"/>
      <c r="R95" s="858"/>
      <c r="S95" s="858"/>
      <c r="T95" s="858"/>
      <c r="U95" s="858"/>
      <c r="V95" s="858"/>
      <c r="W95" s="858"/>
    </row>
    <row r="96" spans="1:49" ht="14.75" x14ac:dyDescent="0.75">
      <c r="A96" s="878"/>
      <c r="B96" s="878"/>
      <c r="C96" s="878"/>
      <c r="D96" s="878"/>
      <c r="E96" s="878"/>
      <c r="F96" s="878"/>
      <c r="G96" s="878"/>
      <c r="H96" s="878"/>
      <c r="I96" s="878"/>
      <c r="J96" s="878"/>
      <c r="K96" s="878"/>
      <c r="L96" s="926"/>
      <c r="M96" s="878"/>
      <c r="N96" s="858"/>
      <c r="O96" s="858"/>
      <c r="P96" s="858"/>
      <c r="R96" s="858"/>
      <c r="S96" s="858"/>
      <c r="T96" s="858"/>
      <c r="U96" s="858"/>
      <c r="V96" s="858"/>
      <c r="W96" s="858"/>
    </row>
    <row r="97" spans="1:23" ht="14.75" x14ac:dyDescent="0.75">
      <c r="A97" s="878"/>
      <c r="B97" s="878"/>
      <c r="C97" s="878"/>
      <c r="D97" s="878"/>
      <c r="E97" s="878"/>
      <c r="F97" s="878"/>
      <c r="G97" s="878"/>
      <c r="H97" s="878"/>
      <c r="I97" s="878"/>
      <c r="J97" s="878"/>
      <c r="K97" s="878"/>
      <c r="L97" s="926"/>
      <c r="M97" s="878"/>
      <c r="N97" s="858"/>
      <c r="O97" s="858"/>
      <c r="P97" s="858"/>
      <c r="R97" s="858"/>
      <c r="S97" s="858"/>
      <c r="T97" s="858"/>
      <c r="U97" s="858"/>
      <c r="V97" s="858"/>
      <c r="W97" s="858"/>
    </row>
    <row r="98" spans="1:23" ht="14.75" x14ac:dyDescent="0.75">
      <c r="A98" s="878"/>
      <c r="B98" s="878"/>
      <c r="C98" s="878"/>
      <c r="D98" s="878"/>
      <c r="E98" s="878"/>
      <c r="F98" s="878"/>
      <c r="G98" s="878"/>
      <c r="H98" s="878"/>
      <c r="I98" s="878"/>
      <c r="J98" s="878"/>
      <c r="K98" s="878"/>
      <c r="L98" s="926"/>
      <c r="M98" s="878"/>
      <c r="N98" s="858"/>
      <c r="O98" s="858"/>
      <c r="P98" s="858"/>
      <c r="R98" s="858"/>
      <c r="S98" s="858"/>
      <c r="T98" s="858"/>
      <c r="U98" s="858"/>
      <c r="V98" s="858"/>
      <c r="W98" s="858"/>
    </row>
    <row r="99" spans="1:23" ht="14.75" x14ac:dyDescent="0.75">
      <c r="A99" s="878"/>
      <c r="B99" s="878"/>
      <c r="C99" s="878"/>
      <c r="D99" s="878"/>
      <c r="E99" s="878"/>
      <c r="F99" s="878"/>
      <c r="G99" s="878"/>
      <c r="H99" s="878"/>
      <c r="I99" s="878"/>
      <c r="J99" s="878"/>
      <c r="K99" s="878"/>
      <c r="L99" s="926"/>
      <c r="M99" s="878"/>
      <c r="N99" s="858"/>
      <c r="O99" s="858"/>
      <c r="P99" s="858"/>
      <c r="R99" s="858"/>
      <c r="S99" s="858"/>
      <c r="T99" s="858"/>
      <c r="U99" s="858"/>
    </row>
    <row r="100" spans="1:23" ht="14.75" x14ac:dyDescent="0.75">
      <c r="A100" s="878"/>
      <c r="B100" s="878"/>
      <c r="C100" s="878"/>
      <c r="D100" s="878"/>
      <c r="E100" s="878"/>
      <c r="F100" s="878"/>
      <c r="G100" s="878"/>
      <c r="H100" s="878"/>
      <c r="I100" s="878"/>
      <c r="J100" s="878"/>
      <c r="K100" s="878"/>
      <c r="L100" s="926"/>
      <c r="M100" s="878"/>
      <c r="N100" s="878"/>
      <c r="O100" s="878"/>
      <c r="P100" s="878"/>
      <c r="Q100" s="878"/>
      <c r="R100" s="878"/>
    </row>
    <row r="101" spans="1:23" ht="14.75" x14ac:dyDescent="0.75">
      <c r="A101" s="878"/>
      <c r="B101" s="878"/>
      <c r="C101" s="878"/>
      <c r="D101" s="878"/>
      <c r="E101" s="878"/>
      <c r="F101" s="878"/>
      <c r="G101" s="878"/>
      <c r="H101" s="878"/>
      <c r="I101" s="878"/>
      <c r="J101" s="878"/>
      <c r="K101" s="878"/>
      <c r="L101" s="926"/>
      <c r="M101" s="878"/>
      <c r="N101" s="878"/>
      <c r="O101" s="878"/>
      <c r="P101" s="878"/>
      <c r="Q101" s="878"/>
      <c r="R101" s="878"/>
    </row>
    <row r="102" spans="1:23" ht="14.75" x14ac:dyDescent="0.75">
      <c r="A102" s="878"/>
      <c r="B102" s="878"/>
      <c r="C102" s="878"/>
      <c r="D102" s="878"/>
      <c r="E102" s="878"/>
      <c r="F102" s="878"/>
      <c r="G102" s="878"/>
      <c r="H102" s="878"/>
      <c r="I102" s="878"/>
      <c r="J102" s="878"/>
      <c r="K102" s="878"/>
      <c r="L102" s="926"/>
      <c r="M102" s="878"/>
      <c r="N102" s="878"/>
      <c r="O102" s="878"/>
      <c r="P102" s="878"/>
      <c r="Q102" s="878"/>
      <c r="R102" s="878"/>
    </row>
    <row r="103" spans="1:23" ht="14.75" x14ac:dyDescent="0.75">
      <c r="A103" s="878"/>
      <c r="B103" s="878"/>
      <c r="C103" s="878"/>
      <c r="D103" s="878"/>
      <c r="E103" s="878"/>
      <c r="F103" s="878"/>
      <c r="G103" s="878"/>
      <c r="H103" s="878"/>
      <c r="I103" s="878"/>
      <c r="J103" s="878"/>
      <c r="K103" s="878"/>
      <c r="L103" s="926"/>
      <c r="M103" s="878"/>
      <c r="N103" s="878"/>
      <c r="O103" s="878"/>
      <c r="P103" s="878"/>
      <c r="Q103" s="878"/>
      <c r="R103" s="878"/>
    </row>
    <row r="104" spans="1:23" ht="14.75" x14ac:dyDescent="0.75">
      <c r="A104" s="878"/>
      <c r="B104" s="878"/>
      <c r="C104" s="878"/>
      <c r="D104" s="878"/>
      <c r="E104" s="878"/>
      <c r="F104" s="878"/>
      <c r="G104" s="878"/>
      <c r="H104" s="878"/>
      <c r="I104" s="878"/>
      <c r="J104" s="878"/>
      <c r="K104" s="878"/>
      <c r="L104" s="926"/>
      <c r="M104" s="878"/>
      <c r="N104" s="878"/>
      <c r="O104" s="878"/>
      <c r="P104" s="878"/>
      <c r="Q104" s="878"/>
      <c r="R104" s="878"/>
    </row>
    <row r="105" spans="1:23" ht="14.75" x14ac:dyDescent="0.75">
      <c r="A105" s="878"/>
      <c r="B105" s="878"/>
      <c r="C105" s="878"/>
      <c r="D105" s="878"/>
      <c r="E105" s="878"/>
      <c r="F105" s="878"/>
      <c r="G105" s="878"/>
      <c r="H105" s="878"/>
      <c r="I105" s="878"/>
      <c r="J105" s="878"/>
      <c r="K105" s="878"/>
      <c r="L105" s="926"/>
      <c r="M105" s="878"/>
      <c r="N105" s="878"/>
      <c r="O105" s="878"/>
      <c r="P105" s="878"/>
      <c r="Q105" s="878"/>
      <c r="R105" s="878"/>
    </row>
    <row r="106" spans="1:23" ht="14.75" x14ac:dyDescent="0.75">
      <c r="A106" s="878"/>
      <c r="B106" s="878"/>
      <c r="C106" s="878"/>
      <c r="D106" s="878"/>
      <c r="E106" s="878"/>
      <c r="F106" s="878"/>
      <c r="G106" s="878"/>
      <c r="H106" s="878"/>
      <c r="I106" s="878"/>
      <c r="J106" s="878"/>
      <c r="K106" s="878"/>
      <c r="L106" s="926"/>
      <c r="M106" s="878"/>
      <c r="N106" s="878"/>
      <c r="O106" s="878"/>
      <c r="P106" s="878"/>
      <c r="Q106" s="878"/>
      <c r="R106" s="878"/>
    </row>
    <row r="107" spans="1:23" ht="14.75" x14ac:dyDescent="0.75">
      <c r="A107" s="878"/>
      <c r="B107" s="878"/>
      <c r="C107" s="878"/>
      <c r="D107" s="878"/>
      <c r="E107" s="878"/>
      <c r="F107" s="878"/>
      <c r="G107" s="878"/>
      <c r="H107" s="878"/>
      <c r="I107" s="878"/>
      <c r="J107" s="878"/>
      <c r="K107" s="878"/>
      <c r="L107" s="926"/>
      <c r="M107" s="878"/>
      <c r="N107" s="878"/>
      <c r="O107" s="878"/>
      <c r="P107" s="878"/>
      <c r="Q107" s="878"/>
      <c r="R107" s="878"/>
    </row>
    <row r="108" spans="1:23" ht="14.75" x14ac:dyDescent="0.75">
      <c r="A108" s="878"/>
      <c r="B108" s="878"/>
      <c r="C108" s="878"/>
      <c r="D108" s="878"/>
      <c r="E108" s="878"/>
      <c r="F108" s="878"/>
      <c r="G108" s="878"/>
      <c r="H108" s="878"/>
      <c r="I108" s="878"/>
      <c r="J108" s="878"/>
      <c r="K108" s="878"/>
      <c r="L108" s="926"/>
      <c r="M108" s="878"/>
      <c r="N108" s="878"/>
      <c r="O108" s="878"/>
      <c r="P108" s="878"/>
      <c r="Q108" s="878"/>
      <c r="R108" s="878"/>
    </row>
    <row r="109" spans="1:23" ht="14.75" x14ac:dyDescent="0.75">
      <c r="A109" s="878"/>
      <c r="B109" s="878"/>
      <c r="C109" s="878"/>
      <c r="D109" s="878"/>
      <c r="E109" s="878"/>
      <c r="F109" s="878"/>
      <c r="G109" s="878"/>
      <c r="H109" s="878"/>
      <c r="I109" s="878"/>
      <c r="J109" s="878"/>
      <c r="K109" s="878"/>
      <c r="L109" s="926"/>
      <c r="M109" s="878"/>
      <c r="N109" s="878"/>
      <c r="O109" s="878"/>
      <c r="P109" s="878"/>
      <c r="Q109" s="878"/>
      <c r="R109" s="878"/>
    </row>
    <row r="110" spans="1:23" ht="14.75" x14ac:dyDescent="0.75">
      <c r="A110" s="878"/>
      <c r="B110" s="878"/>
      <c r="C110" s="878"/>
      <c r="D110" s="878"/>
      <c r="E110" s="878"/>
      <c r="F110" s="878"/>
      <c r="G110" s="878"/>
      <c r="H110" s="878"/>
      <c r="I110" s="878"/>
      <c r="J110" s="878"/>
      <c r="K110" s="878"/>
      <c r="L110" s="926"/>
      <c r="M110" s="878"/>
      <c r="N110" s="878"/>
      <c r="O110" s="878"/>
      <c r="P110" s="878"/>
      <c r="Q110" s="878"/>
      <c r="R110" s="878"/>
    </row>
    <row r="111" spans="1:23" ht="14.75" x14ac:dyDescent="0.75">
      <c r="A111" s="878"/>
      <c r="B111" s="878"/>
      <c r="C111" s="878"/>
      <c r="D111" s="878"/>
      <c r="E111" s="878"/>
      <c r="F111" s="878"/>
      <c r="G111" s="878"/>
      <c r="H111" s="878"/>
      <c r="I111" s="878"/>
      <c r="J111" s="878"/>
      <c r="K111" s="878"/>
      <c r="L111" s="926"/>
      <c r="M111" s="878"/>
      <c r="N111" s="878"/>
      <c r="O111" s="878"/>
      <c r="P111" s="878"/>
      <c r="Q111" s="878"/>
      <c r="R111" s="878"/>
    </row>
    <row r="112" spans="1:23" ht="14.75" x14ac:dyDescent="0.75">
      <c r="A112" s="878"/>
      <c r="B112" s="878"/>
      <c r="C112" s="878"/>
      <c r="D112" s="878"/>
      <c r="E112" s="878"/>
      <c r="F112" s="878"/>
      <c r="G112" s="878"/>
      <c r="H112" s="878"/>
      <c r="I112" s="878"/>
      <c r="J112" s="878"/>
      <c r="K112" s="878"/>
      <c r="L112" s="926"/>
      <c r="M112" s="878"/>
      <c r="N112" s="878"/>
      <c r="O112" s="878"/>
      <c r="P112" s="878"/>
      <c r="Q112" s="878"/>
      <c r="R112" s="878"/>
    </row>
    <row r="113" spans="1:18" ht="14.75" x14ac:dyDescent="0.75">
      <c r="A113" s="878"/>
      <c r="B113" s="878"/>
      <c r="C113" s="878"/>
      <c r="D113" s="878"/>
      <c r="E113" s="878"/>
      <c r="F113" s="878"/>
      <c r="G113" s="878"/>
      <c r="H113" s="878"/>
      <c r="I113" s="878"/>
      <c r="J113" s="878"/>
      <c r="K113" s="878"/>
      <c r="L113" s="926"/>
      <c r="M113" s="878"/>
      <c r="N113" s="878"/>
      <c r="O113" s="878"/>
      <c r="P113" s="878"/>
      <c r="Q113" s="878"/>
      <c r="R113" s="878"/>
    </row>
    <row r="114" spans="1:18" ht="14.75" x14ac:dyDescent="0.75">
      <c r="A114" s="878"/>
      <c r="B114" s="878"/>
      <c r="C114" s="878"/>
      <c r="D114" s="878"/>
      <c r="E114" s="878"/>
      <c r="F114" s="878"/>
      <c r="G114" s="878"/>
      <c r="H114" s="878"/>
      <c r="I114" s="878"/>
      <c r="J114" s="878"/>
      <c r="K114" s="878"/>
      <c r="L114" s="926"/>
      <c r="M114" s="878"/>
      <c r="N114" s="878"/>
      <c r="O114" s="878"/>
      <c r="P114" s="878"/>
      <c r="Q114" s="878"/>
      <c r="R114" s="878"/>
    </row>
    <row r="115" spans="1:18" ht="14.75" x14ac:dyDescent="0.75">
      <c r="A115" s="878"/>
      <c r="B115" s="878"/>
      <c r="C115" s="878"/>
      <c r="D115" s="878"/>
      <c r="E115" s="878"/>
      <c r="F115" s="878"/>
      <c r="G115" s="878"/>
      <c r="H115" s="878"/>
      <c r="I115" s="878"/>
      <c r="J115" s="878"/>
      <c r="K115" s="878"/>
      <c r="L115" s="926"/>
      <c r="M115" s="878"/>
      <c r="N115" s="878"/>
      <c r="O115" s="878"/>
      <c r="P115" s="878"/>
      <c r="Q115" s="878"/>
      <c r="R115" s="878"/>
    </row>
    <row r="116" spans="1:18" ht="14.75" x14ac:dyDescent="0.75">
      <c r="A116" s="878"/>
      <c r="B116" s="878"/>
      <c r="C116" s="878"/>
      <c r="D116" s="878"/>
      <c r="E116" s="878"/>
      <c r="F116" s="878"/>
      <c r="G116" s="878"/>
      <c r="H116" s="878"/>
      <c r="I116" s="878"/>
      <c r="J116" s="878"/>
      <c r="K116" s="878"/>
      <c r="L116" s="926"/>
      <c r="M116" s="878"/>
      <c r="N116" s="878"/>
      <c r="O116" s="878"/>
      <c r="P116" s="878"/>
      <c r="Q116" s="878"/>
      <c r="R116" s="878"/>
    </row>
    <row r="117" spans="1:18" ht="14.75" x14ac:dyDescent="0.75">
      <c r="A117" s="878"/>
      <c r="B117" s="878"/>
      <c r="C117" s="878"/>
      <c r="D117" s="878"/>
      <c r="E117" s="878"/>
      <c r="F117" s="878"/>
      <c r="G117" s="878"/>
      <c r="H117" s="878"/>
      <c r="I117" s="878"/>
      <c r="J117" s="878"/>
      <c r="K117" s="878"/>
      <c r="L117" s="926"/>
      <c r="M117" s="878"/>
      <c r="N117" s="878"/>
      <c r="O117" s="878"/>
      <c r="P117" s="878"/>
      <c r="Q117" s="878"/>
      <c r="R117" s="878"/>
    </row>
    <row r="118" spans="1:18" ht="14.75" x14ac:dyDescent="0.75">
      <c r="A118" s="878"/>
      <c r="B118" s="878"/>
      <c r="C118" s="878"/>
      <c r="D118" s="878"/>
      <c r="E118" s="878"/>
      <c r="F118" s="878"/>
      <c r="G118" s="878"/>
      <c r="H118" s="878"/>
      <c r="I118" s="878"/>
      <c r="J118" s="878"/>
      <c r="K118" s="878"/>
      <c r="L118" s="926"/>
      <c r="M118" s="878"/>
      <c r="N118" s="878"/>
      <c r="O118" s="878"/>
      <c r="P118" s="878"/>
      <c r="Q118" s="878"/>
      <c r="R118" s="878"/>
    </row>
    <row r="119" spans="1:18" ht="14.75" x14ac:dyDescent="0.75">
      <c r="A119" s="878"/>
      <c r="B119" s="878"/>
      <c r="C119" s="878"/>
      <c r="D119" s="878"/>
      <c r="E119" s="878"/>
      <c r="F119" s="878"/>
      <c r="G119" s="878"/>
      <c r="H119" s="878"/>
      <c r="I119" s="878"/>
      <c r="J119" s="878"/>
      <c r="K119" s="878"/>
      <c r="L119" s="926"/>
      <c r="M119" s="878"/>
      <c r="N119" s="878"/>
      <c r="O119" s="878"/>
      <c r="P119" s="878"/>
      <c r="Q119" s="878"/>
      <c r="R119" s="878"/>
    </row>
    <row r="120" spans="1:18" ht="14.75" x14ac:dyDescent="0.75">
      <c r="A120" s="878"/>
      <c r="B120" s="878"/>
      <c r="C120" s="878"/>
      <c r="D120" s="878"/>
      <c r="E120" s="878"/>
      <c r="F120" s="878"/>
      <c r="G120" s="878"/>
      <c r="H120" s="878"/>
      <c r="I120" s="878"/>
      <c r="J120" s="878"/>
      <c r="K120" s="878"/>
      <c r="L120" s="926"/>
      <c r="M120" s="878"/>
      <c r="N120" s="878"/>
      <c r="O120" s="878"/>
      <c r="P120" s="878"/>
      <c r="Q120" s="878"/>
      <c r="R120" s="878"/>
    </row>
    <row r="121" spans="1:18" ht="14.75" x14ac:dyDescent="0.75">
      <c r="A121" s="878"/>
      <c r="B121" s="878"/>
      <c r="C121" s="878"/>
      <c r="D121" s="878"/>
      <c r="E121" s="878"/>
      <c r="F121" s="878"/>
      <c r="G121" s="878"/>
      <c r="H121" s="878"/>
      <c r="I121" s="878"/>
      <c r="J121" s="878"/>
      <c r="K121" s="878"/>
      <c r="L121" s="926"/>
      <c r="M121" s="878"/>
      <c r="N121" s="878"/>
      <c r="O121" s="878"/>
      <c r="P121" s="878"/>
      <c r="Q121" s="878"/>
      <c r="R121" s="878"/>
    </row>
    <row r="122" spans="1:18" ht="14.75" x14ac:dyDescent="0.75">
      <c r="A122" s="878"/>
      <c r="B122" s="878"/>
      <c r="C122" s="878"/>
      <c r="D122" s="878"/>
      <c r="E122" s="878"/>
      <c r="F122" s="878"/>
      <c r="G122" s="878"/>
      <c r="H122" s="878"/>
      <c r="I122" s="878"/>
      <c r="J122" s="878"/>
      <c r="K122" s="878"/>
      <c r="L122" s="926"/>
      <c r="M122" s="878"/>
      <c r="N122" s="878"/>
      <c r="O122" s="878"/>
      <c r="P122" s="878"/>
      <c r="Q122" s="878"/>
      <c r="R122" s="878"/>
    </row>
    <row r="123" spans="1:18" ht="14.75" x14ac:dyDescent="0.75">
      <c r="A123" s="878"/>
      <c r="B123" s="878"/>
      <c r="C123" s="878"/>
      <c r="D123" s="878"/>
      <c r="E123" s="878"/>
      <c r="F123" s="878"/>
      <c r="G123" s="878"/>
      <c r="H123" s="878"/>
      <c r="I123" s="878"/>
      <c r="J123" s="878"/>
      <c r="K123" s="878"/>
      <c r="L123" s="926"/>
      <c r="M123" s="878"/>
      <c r="N123" s="878"/>
      <c r="O123" s="878"/>
      <c r="P123" s="878"/>
      <c r="Q123" s="878"/>
      <c r="R123" s="878"/>
    </row>
    <row r="124" spans="1:18" ht="14.75" x14ac:dyDescent="0.75">
      <c r="A124" s="878"/>
      <c r="B124" s="878"/>
      <c r="C124" s="878"/>
      <c r="D124" s="878"/>
      <c r="E124" s="878"/>
      <c r="F124" s="878"/>
      <c r="G124" s="878"/>
      <c r="H124" s="878"/>
      <c r="I124" s="878"/>
      <c r="J124" s="878"/>
      <c r="K124" s="878"/>
      <c r="L124" s="926"/>
      <c r="M124" s="878"/>
      <c r="N124" s="878"/>
      <c r="O124" s="878"/>
      <c r="P124" s="878"/>
      <c r="Q124" s="878"/>
      <c r="R124" s="878"/>
    </row>
    <row r="125" spans="1:18" ht="14.75" x14ac:dyDescent="0.75">
      <c r="A125" s="878"/>
      <c r="B125" s="878"/>
      <c r="C125" s="878"/>
      <c r="D125" s="878"/>
      <c r="E125" s="878"/>
      <c r="F125" s="878"/>
      <c r="G125" s="878"/>
      <c r="H125" s="878"/>
      <c r="I125" s="878"/>
      <c r="J125" s="878"/>
      <c r="K125" s="878"/>
      <c r="L125" s="926"/>
      <c r="M125" s="878"/>
      <c r="N125" s="878"/>
      <c r="O125" s="878"/>
      <c r="P125" s="878"/>
      <c r="Q125" s="878"/>
      <c r="R125" s="878"/>
    </row>
    <row r="126" spans="1:18" ht="14.75" x14ac:dyDescent="0.75">
      <c r="A126" s="878"/>
      <c r="B126" s="878"/>
      <c r="C126" s="878"/>
      <c r="D126" s="878"/>
      <c r="E126" s="878"/>
      <c r="F126" s="878"/>
      <c r="G126" s="878"/>
      <c r="H126" s="878"/>
      <c r="I126" s="878"/>
      <c r="J126" s="878"/>
      <c r="K126" s="878"/>
      <c r="L126" s="926"/>
      <c r="M126" s="878"/>
      <c r="N126" s="878"/>
      <c r="O126" s="878"/>
      <c r="P126" s="878"/>
      <c r="Q126" s="878"/>
      <c r="R126" s="878"/>
    </row>
    <row r="127" spans="1:18" ht="14.75" x14ac:dyDescent="0.75">
      <c r="G127" s="878"/>
      <c r="H127" s="878"/>
      <c r="I127" s="878"/>
      <c r="J127" s="878"/>
      <c r="K127" s="878"/>
      <c r="L127" s="926"/>
      <c r="M127" s="878"/>
      <c r="N127" s="878"/>
      <c r="O127" s="878"/>
      <c r="P127" s="878"/>
      <c r="Q127" s="878"/>
      <c r="R127" s="878"/>
    </row>
    <row r="128" spans="1:18" ht="14.75" x14ac:dyDescent="0.75">
      <c r="I128" s="928"/>
      <c r="J128" s="928"/>
      <c r="K128" s="928"/>
      <c r="L128" s="929"/>
      <c r="M128" s="878"/>
      <c r="N128" s="878"/>
      <c r="O128" s="878"/>
      <c r="P128" s="878"/>
      <c r="Q128" s="878"/>
      <c r="R128" s="878"/>
    </row>
    <row r="129" spans="13:18" ht="14.75" x14ac:dyDescent="0.75">
      <c r="M129" s="878"/>
      <c r="N129" s="878"/>
      <c r="O129" s="878"/>
      <c r="P129" s="878"/>
      <c r="Q129" s="878"/>
      <c r="R129" s="878"/>
    </row>
    <row r="130" spans="13:18" ht="14.75" x14ac:dyDescent="0.75">
      <c r="M130" s="878"/>
      <c r="N130" s="878"/>
      <c r="O130" s="878"/>
      <c r="P130" s="878"/>
      <c r="Q130" s="878"/>
      <c r="R130" s="878"/>
    </row>
    <row r="131" spans="13:18" ht="14.75" x14ac:dyDescent="0.75">
      <c r="M131" s="878"/>
      <c r="N131" s="878"/>
      <c r="O131" s="878"/>
      <c r="P131" s="878"/>
      <c r="Q131" s="878"/>
      <c r="R131" s="878"/>
    </row>
    <row r="132" spans="13:18" ht="14.75" x14ac:dyDescent="0.75">
      <c r="M132" s="878"/>
      <c r="N132" s="878"/>
      <c r="O132" s="878"/>
      <c r="P132" s="878"/>
      <c r="Q132" s="878"/>
      <c r="R132" s="878"/>
    </row>
    <row r="133" spans="13:18" ht="14.75" x14ac:dyDescent="0.75">
      <c r="M133" s="878"/>
      <c r="N133" s="878"/>
      <c r="O133" s="878"/>
      <c r="P133" s="878"/>
      <c r="Q133" s="878"/>
      <c r="R133" s="878"/>
    </row>
  </sheetData>
  <autoFilter ref="A2:F2" xr:uid="{52F044FB-45CA-4BAB-AF18-3B4E1B2D0DCC}"/>
  <mergeCells count="63">
    <mergeCell ref="N44:O44"/>
    <mergeCell ref="N43:O43"/>
    <mergeCell ref="N42:O42"/>
    <mergeCell ref="N41:O41"/>
    <mergeCell ref="N40:O40"/>
    <mergeCell ref="N57:O57"/>
    <mergeCell ref="N50:O50"/>
    <mergeCell ref="N49:O49"/>
    <mergeCell ref="N48:O48"/>
    <mergeCell ref="N46:O46"/>
    <mergeCell ref="N55:O55"/>
    <mergeCell ref="N56:O56"/>
    <mergeCell ref="N45:O45"/>
    <mergeCell ref="N51:O51"/>
    <mergeCell ref="N52:O52"/>
    <mergeCell ref="N53:O53"/>
    <mergeCell ref="N54:O54"/>
    <mergeCell ref="A46:A50"/>
    <mergeCell ref="B46:B49"/>
    <mergeCell ref="A40:A45"/>
    <mergeCell ref="B40:B41"/>
    <mergeCell ref="B43:B45"/>
    <mergeCell ref="A29:A39"/>
    <mergeCell ref="N32:O32"/>
    <mergeCell ref="N34:O34"/>
    <mergeCell ref="N39:O39"/>
    <mergeCell ref="N35:O35"/>
    <mergeCell ref="N36:O36"/>
    <mergeCell ref="N37:O37"/>
    <mergeCell ref="N31:O31"/>
    <mergeCell ref="B29:B34"/>
    <mergeCell ref="B35:B38"/>
    <mergeCell ref="T5:U5"/>
    <mergeCell ref="B8:B10"/>
    <mergeCell ref="Q16:Q17"/>
    <mergeCell ref="W16:W17"/>
    <mergeCell ref="X16:X17"/>
    <mergeCell ref="B17:B19"/>
    <mergeCell ref="N18:O18"/>
    <mergeCell ref="N19:O19"/>
    <mergeCell ref="A12:A27"/>
    <mergeCell ref="B12:B13"/>
    <mergeCell ref="B14:B16"/>
    <mergeCell ref="N14:O14"/>
    <mergeCell ref="N15:O15"/>
    <mergeCell ref="B23:B25"/>
    <mergeCell ref="N23:O23"/>
    <mergeCell ref="B20:B22"/>
    <mergeCell ref="N20:O20"/>
    <mergeCell ref="N21:O21"/>
    <mergeCell ref="N22:O22"/>
    <mergeCell ref="N24:O24"/>
    <mergeCell ref="N25:O25"/>
    <mergeCell ref="B26:B27"/>
    <mergeCell ref="N26:O26"/>
    <mergeCell ref="N27:O27"/>
    <mergeCell ref="A1:B1"/>
    <mergeCell ref="D1:G1"/>
    <mergeCell ref="D2:E2"/>
    <mergeCell ref="F2:G2"/>
    <mergeCell ref="A3:A10"/>
    <mergeCell ref="B3:B4"/>
    <mergeCell ref="B5:B7"/>
  </mergeCells>
  <dataValidations count="1">
    <dataValidation type="list" allowBlank="1" showInputMessage="1" showErrorMessage="1" sqref="L1" xr:uid="{716388F5-2536-49D5-88F4-5C1B65084E0E}">
      <formula1>"Minnesota,Wisconsin"</formula1>
    </dataValidation>
  </dataValidations>
  <hyperlinks>
    <hyperlink ref="M12" r:id="rId1" xr:uid="{729F54E5-2EAD-45BB-90C2-72E3DD7B6B3D}"/>
    <hyperlink ref="M13" r:id="rId2" xr:uid="{186265E2-B77E-4219-AAF9-9BA541C7942D}"/>
    <hyperlink ref="M14" r:id="rId3" xr:uid="{E8E5D58F-9EB3-49E1-A478-3E696DC7864E}"/>
    <hyperlink ref="M15" r:id="rId4" xr:uid="{8278CFDF-4546-4388-9738-E3FC6AA52A68}"/>
    <hyperlink ref="M16" r:id="rId5" xr:uid="{4EF27282-ADDC-41AB-8D97-3E60DBE873CB}"/>
    <hyperlink ref="M24" r:id="rId6" xr:uid="{8810F274-7407-41A2-AFD7-24538DEE7D74}"/>
    <hyperlink ref="M27" r:id="rId7" xr:uid="{B7D4C4B9-ED17-481C-872D-F7C6CFB951CA}"/>
    <hyperlink ref="M17" r:id="rId8" display="https://www.nrel.gov/docs/fy24osti/88335.pdf" xr:uid="{D89A28E6-FDA6-40F7-8C91-9D283B8C175A}"/>
    <hyperlink ref="M18:M19" r:id="rId9" display="https://www.nrel.gov/docs/fy24osti/88335.pdf" xr:uid="{F925D73C-670F-4416-9B95-2743CD99AD16}"/>
    <hyperlink ref="M23" r:id="rId10" display="https://www.nrel.gov/docs/fy24osti/88335.pdf" xr:uid="{12EB6118-B8BF-4C7F-A48E-BFFE2F09FC44}"/>
    <hyperlink ref="M26" r:id="rId11" display="https://www.nrel.gov/docs/fy24osti/88335.pdf" xr:uid="{BB1DCBB3-240E-4EE9-A37A-A9C225F7EED7}"/>
    <hyperlink ref="M25" r:id="rId12" xr:uid="{790DAC5E-2E8E-4B1C-B899-EF29B193826E}"/>
    <hyperlink ref="M40" r:id="rId13" xr:uid="{18E64653-F373-4A80-8B81-D3119BB3AC8C}"/>
    <hyperlink ref="M3" r:id="rId14" xr:uid="{40838807-3FBA-4A49-AB5B-B34A60FF3AEC}"/>
    <hyperlink ref="M4" r:id="rId15" xr:uid="{8FABEB9C-C54F-4817-908C-50B18FA938C8}"/>
    <hyperlink ref="M10" r:id="rId16" xr:uid="{FD0FF24D-DFD5-426C-9B09-A1A750F93962}"/>
    <hyperlink ref="M8" r:id="rId17" display="https://www.nrel.gov/docs/fy24osti/88335.pdf" xr:uid="{E8D7A486-DE76-413F-9301-A250E4A3E9D4}"/>
    <hyperlink ref="M9" r:id="rId18" xr:uid="{E44F359D-AFBA-449C-AF67-764F0EA738B1}"/>
    <hyperlink ref="M47" r:id="rId19" xr:uid="{0A2181BE-8045-405B-8F16-2BA496A624CC}"/>
    <hyperlink ref="M48" r:id="rId20" xr:uid="{420150EB-2C32-4DBB-BFE6-D5782B2C1112}"/>
    <hyperlink ref="M31" r:id="rId21" xr:uid="{EEAD104D-B4D2-4259-B51E-E58242E4EEFD}"/>
    <hyperlink ref="M34" r:id="rId22" xr:uid="{087065EE-746C-470C-852C-9B2D8C22004D}"/>
    <hyperlink ref="M42" r:id="rId23" xr:uid="{73D631F6-B344-4AAE-A031-BA0ACCEDDFC1}"/>
    <hyperlink ref="M50" r:id="rId24" display="https://www.huduser.gov/publications/pdf/Book2.pdf" xr:uid="{D657BCA5-0A15-4A59-8A4B-C449B24AFD1B}"/>
    <hyperlink ref="M5" r:id="rId25" xr:uid="{D02DA9ED-E575-4433-9434-E93E27DBF737}"/>
    <hyperlink ref="M32" r:id="rId26" xr:uid="{5F8FEDE3-05EB-4273-B3AB-1F6AAD19BBFC}"/>
    <hyperlink ref="M30" r:id="rId27" xr:uid="{DFFDBF94-7479-4BD0-B30A-6E0EAC4FC99C}"/>
    <hyperlink ref="M36" r:id="rId28" xr:uid="{3BCBE478-C930-488C-9325-64C55EC9F973}"/>
    <hyperlink ref="M6" r:id="rId29" xr:uid="{CFFD7EC1-25C9-41FD-9281-D9996F6BE80E}"/>
    <hyperlink ref="M7" r:id="rId30" xr:uid="{422EB5D6-1D69-43EE-A0FF-829866706DAC}"/>
    <hyperlink ref="M46" r:id="rId31" display="Lawn Love" xr:uid="{5C575F24-A979-4582-968A-E1A6B6862A80}"/>
    <hyperlink ref="M38" r:id="rId32" xr:uid="{19C86A40-6254-4B2E-8636-262816CADFE8}"/>
    <hyperlink ref="M29" r:id="rId33" xr:uid="{DF1893D0-2F98-43AE-8F31-C87454F9D10E}"/>
    <hyperlink ref="M35" r:id="rId34" xr:uid="{1650DBD4-B65F-41F4-9E17-E008F23E999D}"/>
    <hyperlink ref="M41" r:id="rId35" xr:uid="{E74F1520-98D7-40DB-A54D-3C014DBEF900}"/>
    <hyperlink ref="W32" r:id="rId36" display="https://www.homedepot.com/b/Lighting-Light-Bulbs-LED-Light-Bulbs/60-Watt/N-5yc1vZbm79Z1z1u6nl" xr:uid="{39DE79A7-0881-4BE7-8CCD-87C4C39B3621}"/>
    <hyperlink ref="W36" r:id="rId37" display="https://4starelectric.com/why-you-should-upgrade-to-led-lights/" xr:uid="{A8871E6F-1825-4C8D-9401-65227A1CE27C}"/>
    <hyperlink ref="N5" r:id="rId38" display="https://www.energy.gov/sites/prod/files/guide_to_geothermal_heat_pumps.pdf" xr:uid="{2CFC66E5-9CE5-44F4-B620-FBB24DD4B307}"/>
    <hyperlink ref="P40" r:id="rId39" xr:uid="{C0938C11-98B4-4ABF-890D-FCB059FE0821}"/>
    <hyperlink ref="W37" r:id="rId40" display="https://www.energystar.gov/productfinder/product/certified-connected-thermostats/results" xr:uid="{17C9FA20-384C-44B3-8B9B-EFD83F1FCC40}"/>
    <hyperlink ref="N47" r:id="rId41" display="https://www.homeadvisor.com/cost/landscape/install-landscaping/" xr:uid="{767310F1-FB15-4B2D-A3D5-3C14938F7126}"/>
  </hyperlinks>
  <pageMargins left="0.7" right="0.7" top="0.75" bottom="0.75" header="0.3" footer="0.3"/>
  <pageSetup paperSize="0" orientation="portrait" r:id="rId42"/>
  <legacyDrawing r:id="rId4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541F-FC53-4765-949A-2CC1B1807294}">
  <sheetPr>
    <tabColor theme="9" tint="0.79998168889431442"/>
  </sheetPr>
  <dimension ref="A1:BA133"/>
  <sheetViews>
    <sheetView zoomScale="70" zoomScaleNormal="70" workbookViewId="0">
      <pane xSplit="3" ySplit="2" topLeftCell="M3" activePane="bottomRight" state="frozen"/>
      <selection activeCell="B39" sqref="A39:XFD39"/>
      <selection pane="topRight" activeCell="B39" sqref="A39:XFD39"/>
      <selection pane="bottomLeft" activeCell="B39" sqref="A39:XFD39"/>
      <selection pane="bottomRight" activeCell="N8" sqref="N8"/>
    </sheetView>
  </sheetViews>
  <sheetFormatPr defaultColWidth="9" defaultRowHeight="18.5" x14ac:dyDescent="0.9"/>
  <cols>
    <col min="1" max="1" width="32.25" style="280" customWidth="1"/>
    <col min="2" max="2" width="34.25" style="280" bestFit="1" customWidth="1"/>
    <col min="3" max="3" width="64.75" style="280" bestFit="1" customWidth="1"/>
    <col min="4" max="4" width="35.5" style="280" bestFit="1" customWidth="1"/>
    <col min="5" max="5" width="16.75" style="280" customWidth="1"/>
    <col min="6" max="6" width="30.75" style="280" bestFit="1" customWidth="1"/>
    <col min="7" max="7" width="19.125" style="280" customWidth="1"/>
    <col min="8" max="8" width="21.125" style="280" customWidth="1"/>
    <col min="9" max="11" width="19.125" style="716" customWidth="1"/>
    <col min="12" max="12" width="29.625" style="717" customWidth="1"/>
    <col min="13" max="13" width="42.125" style="300" customWidth="1"/>
    <col min="14" max="14" width="54.75" style="300" customWidth="1"/>
    <col min="15" max="15" width="55" style="300" customWidth="1"/>
    <col min="16" max="16" width="41.25" style="447" customWidth="1"/>
    <col min="17" max="17" width="33.75" style="338" customWidth="1"/>
    <col min="18" max="18" width="23.875" style="337" bestFit="1" customWidth="1"/>
    <col min="19" max="19" width="19" style="280" customWidth="1"/>
    <col min="20" max="20" width="12.625" style="426" customWidth="1"/>
    <col min="21" max="21" width="27.75" style="426" customWidth="1"/>
    <col min="22" max="22" width="29.25" style="322" customWidth="1"/>
    <col min="23" max="23" width="24" style="321" customWidth="1"/>
    <col min="24" max="24" width="23.75" style="321" customWidth="1"/>
    <col min="25" max="25" width="30.375" style="321" customWidth="1"/>
    <col min="26" max="27" width="22.375" style="859" customWidth="1"/>
    <col min="28" max="34" width="22.375" style="426" customWidth="1"/>
    <col min="35" max="49" width="9" style="426" bestFit="1"/>
    <col min="50" max="51" width="9" style="426"/>
    <col min="52" max="16384" width="9" style="280"/>
  </cols>
  <sheetData>
    <row r="1" spans="1:51" ht="24.25" thickBot="1" x14ac:dyDescent="0.9">
      <c r="A1" s="1531"/>
      <c r="B1" s="1531"/>
      <c r="C1" s="501"/>
      <c r="D1" s="1532"/>
      <c r="E1" s="1532"/>
      <c r="F1" s="1532"/>
      <c r="G1" s="1532"/>
      <c r="H1" s="690"/>
      <c r="I1" s="729"/>
      <c r="J1" s="729"/>
      <c r="K1" s="729"/>
      <c r="L1" s="730"/>
      <c r="M1" s="375"/>
      <c r="N1" s="375"/>
      <c r="O1" s="375"/>
      <c r="P1" s="858"/>
      <c r="Q1" s="858"/>
      <c r="R1" s="858"/>
      <c r="S1" s="858"/>
      <c r="T1" s="858"/>
      <c r="U1" s="858"/>
      <c r="V1" s="858"/>
      <c r="W1" s="858"/>
      <c r="X1" s="858"/>
      <c r="Y1" s="858"/>
      <c r="Z1" s="858"/>
      <c r="AA1" s="858"/>
      <c r="AC1" s="426" t="s">
        <v>1260</v>
      </c>
      <c r="AD1" s="426" t="s">
        <v>1261</v>
      </c>
      <c r="AE1" s="426" t="s">
        <v>1262</v>
      </c>
      <c r="AF1" s="858"/>
      <c r="AG1" s="858"/>
      <c r="AH1" s="858"/>
      <c r="AI1" s="858"/>
      <c r="AJ1" s="858"/>
      <c r="AK1" s="858"/>
      <c r="AL1" s="858"/>
      <c r="AM1" s="858"/>
      <c r="AN1" s="858"/>
      <c r="AO1" s="858"/>
      <c r="AP1" s="858"/>
      <c r="AQ1" s="858"/>
      <c r="AR1" s="858"/>
      <c r="AS1" s="858"/>
      <c r="AT1" s="858"/>
      <c r="AU1" s="858"/>
      <c r="AV1" s="858"/>
      <c r="AW1" s="858"/>
      <c r="AX1" s="280"/>
      <c r="AY1" s="280"/>
    </row>
    <row r="2" spans="1:51" ht="44.65" customHeight="1" thickBot="1" x14ac:dyDescent="0.9">
      <c r="A2" s="693" t="s">
        <v>0</v>
      </c>
      <c r="B2" s="370" t="s">
        <v>1</v>
      </c>
      <c r="C2" s="694" t="s">
        <v>592</v>
      </c>
      <c r="D2" s="1565" t="s">
        <v>487</v>
      </c>
      <c r="E2" s="1566"/>
      <c r="F2" s="1566" t="s">
        <v>488</v>
      </c>
      <c r="G2" s="1567"/>
      <c r="H2" s="705" t="s">
        <v>1108</v>
      </c>
      <c r="I2" s="698" t="s">
        <v>1107</v>
      </c>
      <c r="J2" s="698" t="s">
        <v>1115</v>
      </c>
      <c r="K2" s="698" t="s">
        <v>1116</v>
      </c>
      <c r="L2" s="809" t="s">
        <v>1106</v>
      </c>
      <c r="M2" s="892" t="s">
        <v>877</v>
      </c>
      <c r="N2" s="893" t="s">
        <v>1187</v>
      </c>
      <c r="O2" s="892" t="s">
        <v>1134</v>
      </c>
      <c r="P2" s="994" t="s">
        <v>1228</v>
      </c>
      <c r="Q2" s="995"/>
      <c r="R2" s="995"/>
      <c r="S2" s="996"/>
      <c r="T2" s="858"/>
      <c r="U2" s="858"/>
      <c r="V2" s="858"/>
      <c r="W2" s="858"/>
      <c r="X2" s="858"/>
      <c r="Y2" s="858"/>
      <c r="Z2" s="858"/>
      <c r="AA2" s="858"/>
      <c r="AB2" s="1167" t="s">
        <v>1256</v>
      </c>
      <c r="AC2" s="1168" t="s">
        <v>1257</v>
      </c>
      <c r="AD2" s="1168" t="s">
        <v>1245</v>
      </c>
      <c r="AE2" s="1169" t="s">
        <v>1246</v>
      </c>
      <c r="AF2" s="858"/>
      <c r="AG2" s="858"/>
      <c r="AH2" s="858"/>
      <c r="AI2" s="858"/>
      <c r="AJ2" s="858"/>
      <c r="AK2" s="858"/>
      <c r="AL2" s="858"/>
      <c r="AM2" s="858"/>
      <c r="AN2" s="858"/>
      <c r="AO2" s="858"/>
      <c r="AP2" s="858"/>
      <c r="AQ2" s="858"/>
      <c r="AR2" s="858"/>
      <c r="AS2" s="858"/>
      <c r="AT2" s="858"/>
      <c r="AU2" s="858"/>
      <c r="AV2" s="858"/>
      <c r="AW2" s="858"/>
      <c r="AX2" s="280"/>
      <c r="AY2" s="280"/>
    </row>
    <row r="3" spans="1:51" ht="108" customHeight="1" thickBot="1" x14ac:dyDescent="0.9">
      <c r="A3" s="1416" t="s">
        <v>529</v>
      </c>
      <c r="B3" s="1417" t="s">
        <v>70</v>
      </c>
      <c r="C3" s="508" t="s">
        <v>918</v>
      </c>
      <c r="D3" s="686" t="s">
        <v>642</v>
      </c>
      <c r="E3" s="687">
        <f>'Tribal Measure Tool'!H10</f>
        <v>0</v>
      </c>
      <c r="F3" s="686" t="s">
        <v>629</v>
      </c>
      <c r="G3" s="696">
        <f>'Tribal Measure Tool'!J10</f>
        <v>0</v>
      </c>
      <c r="H3" s="1160">
        <f>IF(E3&lt;20,2944/0.001,2106/0.001)</f>
        <v>2944000</v>
      </c>
      <c r="I3" s="721" t="s">
        <v>1110</v>
      </c>
      <c r="J3" s="812"/>
      <c r="K3" s="812"/>
      <c r="L3" s="775">
        <f>H3*E3*G3</f>
        <v>0</v>
      </c>
      <c r="M3" s="802" t="s">
        <v>1111</v>
      </c>
      <c r="N3" s="891" t="s">
        <v>1341</v>
      </c>
      <c r="O3" s="979"/>
      <c r="P3" s="997"/>
      <c r="Q3" s="883"/>
      <c r="R3" s="998"/>
      <c r="S3" s="999"/>
      <c r="T3" s="858"/>
      <c r="U3" s="858"/>
      <c r="V3" s="858"/>
      <c r="W3" s="858"/>
      <c r="X3" s="858"/>
      <c r="Y3" s="858"/>
      <c r="Z3" s="858"/>
      <c r="AA3" s="858"/>
      <c r="AB3" s="1170" t="s">
        <v>1247</v>
      </c>
      <c r="AC3" s="1171" t="s">
        <v>1248</v>
      </c>
      <c r="AD3" s="1171" t="s">
        <v>1249</v>
      </c>
      <c r="AE3" s="1172" t="s">
        <v>1250</v>
      </c>
      <c r="AF3" s="858"/>
      <c r="AG3" s="858"/>
      <c r="AH3" s="858"/>
      <c r="AI3" s="858"/>
      <c r="AJ3" s="858"/>
      <c r="AK3" s="858"/>
      <c r="AL3" s="858"/>
      <c r="AM3" s="858"/>
      <c r="AN3" s="858"/>
      <c r="AO3" s="858"/>
      <c r="AP3" s="858"/>
      <c r="AQ3" s="858"/>
      <c r="AR3" s="858"/>
      <c r="AS3" s="858"/>
      <c r="AT3" s="858"/>
      <c r="AU3" s="858"/>
      <c r="AV3" s="858"/>
      <c r="AW3" s="858"/>
      <c r="AX3" s="280"/>
      <c r="AY3" s="280"/>
    </row>
    <row r="4" spans="1:51" ht="86.25" customHeight="1" thickBot="1" x14ac:dyDescent="1.25">
      <c r="A4" s="1416"/>
      <c r="B4" s="1417"/>
      <c r="C4" s="435" t="s">
        <v>919</v>
      </c>
      <c r="D4" s="466" t="s">
        <v>920</v>
      </c>
      <c r="E4" s="685">
        <f>'Tribal Measure Tool'!H11</f>
        <v>0</v>
      </c>
      <c r="F4" s="466" t="s">
        <v>921</v>
      </c>
      <c r="G4" s="364">
        <f>'Tribal Measure Tool'!J11</f>
        <v>0</v>
      </c>
      <c r="H4" s="1161">
        <f>IF(E4&lt;500,4702,2944)</f>
        <v>4702</v>
      </c>
      <c r="I4" s="713" t="s">
        <v>1109</v>
      </c>
      <c r="J4" s="712"/>
      <c r="K4" s="712"/>
      <c r="L4" s="715">
        <f>H4*E4*G4</f>
        <v>0</v>
      </c>
      <c r="M4" s="795" t="s">
        <v>1111</v>
      </c>
      <c r="N4" s="885" t="s">
        <v>1342</v>
      </c>
      <c r="O4" s="980"/>
      <c r="P4" s="1000"/>
      <c r="Q4" s="882"/>
      <c r="R4" s="858"/>
      <c r="S4" s="999"/>
      <c r="T4" s="988" t="s">
        <v>1227</v>
      </c>
      <c r="U4" s="861"/>
      <c r="V4" s="861"/>
      <c r="W4" s="861"/>
      <c r="X4" s="861"/>
      <c r="Y4" s="861"/>
      <c r="Z4" s="934"/>
      <c r="AA4" s="858"/>
      <c r="AB4" s="1170" t="s">
        <v>1251</v>
      </c>
      <c r="AC4" s="1570" t="s">
        <v>1253</v>
      </c>
      <c r="AD4" s="1570" t="s">
        <v>1254</v>
      </c>
      <c r="AE4" s="1572" t="s">
        <v>1255</v>
      </c>
      <c r="AF4" s="858"/>
      <c r="AG4" s="858"/>
      <c r="AH4" s="858"/>
      <c r="AI4" s="858"/>
      <c r="AJ4" s="858"/>
      <c r="AK4" s="858"/>
      <c r="AL4" s="858"/>
      <c r="AM4" s="858"/>
      <c r="AN4" s="858"/>
      <c r="AO4" s="858"/>
      <c r="AP4" s="858"/>
      <c r="AQ4" s="858"/>
      <c r="AR4" s="858"/>
      <c r="AS4" s="858"/>
      <c r="AT4" s="858"/>
      <c r="AU4" s="858"/>
      <c r="AV4" s="858"/>
      <c r="AW4" s="858"/>
      <c r="AX4" s="280"/>
      <c r="AY4" s="280"/>
    </row>
    <row r="5" spans="1:51" ht="126.75" thickBot="1" x14ac:dyDescent="1.1499999999999999">
      <c r="A5" s="1416"/>
      <c r="B5" s="1415" t="s">
        <v>610</v>
      </c>
      <c r="C5" s="435" t="s">
        <v>603</v>
      </c>
      <c r="D5" s="466" t="s">
        <v>616</v>
      </c>
      <c r="E5" s="685">
        <f>'Tribal Measure Tool'!H12</f>
        <v>0</v>
      </c>
      <c r="F5" s="466" t="s">
        <v>1144</v>
      </c>
      <c r="G5" s="890">
        <v>5</v>
      </c>
      <c r="H5" s="845">
        <f>$Q$5*G5</f>
        <v>25000</v>
      </c>
      <c r="I5" s="713" t="s">
        <v>1117</v>
      </c>
      <c r="J5" s="712"/>
      <c r="K5" s="712"/>
      <c r="L5" s="715">
        <f>E5*H5</f>
        <v>0</v>
      </c>
      <c r="M5" s="908" t="s">
        <v>1189</v>
      </c>
      <c r="N5" s="885" t="s">
        <v>1263</v>
      </c>
      <c r="O5" s="981" t="s">
        <v>1226</v>
      </c>
      <c r="P5" s="1024" t="s">
        <v>1230</v>
      </c>
      <c r="Q5" s="1023">
        <f>(25000)/(60/12)</f>
        <v>5000</v>
      </c>
      <c r="R5" s="998"/>
      <c r="S5" s="999"/>
      <c r="T5" s="821" t="s">
        <v>1169</v>
      </c>
      <c r="U5" s="821" t="s">
        <v>1170</v>
      </c>
      <c r="V5" s="858" t="s">
        <v>1171</v>
      </c>
      <c r="W5" s="856" t="s">
        <v>1172</v>
      </c>
      <c r="X5" s="887" t="s">
        <v>1188</v>
      </c>
      <c r="Y5" s="887"/>
      <c r="Z5" s="218" t="s">
        <v>1223</v>
      </c>
      <c r="AA5" s="858"/>
      <c r="AB5" s="1173" t="s">
        <v>1252</v>
      </c>
      <c r="AC5" s="1571"/>
      <c r="AD5" s="1571"/>
      <c r="AE5" s="1573"/>
      <c r="AF5" s="858"/>
      <c r="AG5" s="858"/>
      <c r="AH5" s="858"/>
      <c r="AI5" s="858"/>
      <c r="AJ5" s="858"/>
      <c r="AK5" s="858"/>
      <c r="AL5" s="858"/>
      <c r="AM5" s="858"/>
      <c r="AN5" s="858"/>
      <c r="AO5" s="858"/>
      <c r="AP5" s="858"/>
      <c r="AQ5" s="858"/>
      <c r="AR5" s="858"/>
      <c r="AS5" s="858"/>
      <c r="AT5" s="858"/>
      <c r="AU5" s="858"/>
      <c r="AV5" s="858"/>
      <c r="AW5" s="858"/>
      <c r="AX5" s="280"/>
      <c r="AY5" s="280"/>
    </row>
    <row r="6" spans="1:51" ht="44.65" customHeight="1" thickBot="1" x14ac:dyDescent="1.05">
      <c r="A6" s="1416"/>
      <c r="B6" s="1415"/>
      <c r="C6" s="435" t="s">
        <v>604</v>
      </c>
      <c r="D6" s="466" t="s">
        <v>1291</v>
      </c>
      <c r="E6" s="685">
        <f>'Tribal Measure Tool'!H13</f>
        <v>0</v>
      </c>
      <c r="F6" s="466" t="s">
        <v>1144</v>
      </c>
      <c r="G6" s="890">
        <f>G5</f>
        <v>5</v>
      </c>
      <c r="H6" s="845">
        <f>$Q$5*G6</f>
        <v>25000</v>
      </c>
      <c r="I6" s="713" t="s">
        <v>1294</v>
      </c>
      <c r="J6" s="712"/>
      <c r="K6" s="712"/>
      <c r="L6" s="715">
        <f>E6*H6</f>
        <v>0</v>
      </c>
      <c r="M6" s="908" t="s">
        <v>1189</v>
      </c>
      <c r="N6" s="885" t="s">
        <v>1295</v>
      </c>
      <c r="O6" s="981"/>
      <c r="P6" s="1001"/>
      <c r="R6" s="998"/>
      <c r="S6" s="999"/>
      <c r="T6" s="858">
        <f>(55/Factors!N60)*5000</f>
        <v>22.916666666666668</v>
      </c>
      <c r="U6" s="501">
        <f>5000/550</f>
        <v>9.0909090909090917</v>
      </c>
      <c r="V6" s="280">
        <f>(55/Factors!N60)*10000</f>
        <v>45.833333333333336</v>
      </c>
      <c r="W6" s="280">
        <f>10000/550</f>
        <v>18.181818181818183</v>
      </c>
      <c r="X6" s="280"/>
      <c r="Y6" s="280"/>
      <c r="Z6" s="935" t="s">
        <v>1184</v>
      </c>
      <c r="AA6" s="858"/>
      <c r="AB6" t="s">
        <v>1258</v>
      </c>
      <c r="AC6" s="858"/>
      <c r="AD6" s="858"/>
      <c r="AE6" s="858"/>
      <c r="AF6" s="858"/>
      <c r="AG6" s="858"/>
      <c r="AH6" s="858"/>
      <c r="AI6" s="858"/>
      <c r="AJ6" s="858"/>
      <c r="AK6" s="858"/>
      <c r="AL6" s="858"/>
      <c r="AM6" s="858"/>
      <c r="AN6" s="858"/>
      <c r="AO6" s="858"/>
      <c r="AP6" s="858"/>
      <c r="AQ6" s="858"/>
      <c r="AR6" s="858"/>
      <c r="AS6" s="858"/>
      <c r="AT6" s="858"/>
      <c r="AU6" s="858"/>
      <c r="AV6" s="858"/>
      <c r="AW6" s="858"/>
      <c r="AX6" s="280"/>
      <c r="AY6" s="280"/>
    </row>
    <row r="7" spans="1:51" ht="44.65" customHeight="1" thickBot="1" x14ac:dyDescent="1.35">
      <c r="A7" s="1416"/>
      <c r="B7" s="1415"/>
      <c r="C7" s="435" t="s">
        <v>605</v>
      </c>
      <c r="D7" s="466" t="s">
        <v>618</v>
      </c>
      <c r="E7" s="685">
        <f>'Tribal Measure Tool'!H14</f>
        <v>0</v>
      </c>
      <c r="F7" s="466" t="s">
        <v>1144</v>
      </c>
      <c r="G7" s="890">
        <f>T6</f>
        <v>22.916666666666668</v>
      </c>
      <c r="H7" s="845">
        <f>$Q$5*G7</f>
        <v>114583.33333333334</v>
      </c>
      <c r="I7" s="713" t="s">
        <v>1117</v>
      </c>
      <c r="J7" s="712"/>
      <c r="K7" s="712"/>
      <c r="L7" s="715">
        <f>E7*H7</f>
        <v>0</v>
      </c>
      <c r="M7" s="908" t="s">
        <v>1189</v>
      </c>
      <c r="N7" s="885" t="s">
        <v>1264</v>
      </c>
      <c r="O7" s="981"/>
      <c r="P7" s="1001"/>
      <c r="R7" s="858"/>
      <c r="S7" s="999"/>
      <c r="T7" s="857" t="s">
        <v>1166</v>
      </c>
      <c r="U7" s="936" t="s">
        <v>1224</v>
      </c>
      <c r="V7" s="937"/>
      <c r="W7" s="280"/>
      <c r="X7" s="858"/>
      <c r="Y7" s="858"/>
      <c r="Z7" s="938"/>
      <c r="AA7" s="858"/>
      <c r="AB7" s="858"/>
      <c r="AC7" s="858"/>
      <c r="AD7" s="858"/>
      <c r="AE7" s="858"/>
      <c r="AF7" s="858"/>
      <c r="AG7" s="858"/>
      <c r="AH7" s="858"/>
      <c r="AI7" s="858"/>
      <c r="AJ7" s="858"/>
      <c r="AK7" s="858"/>
      <c r="AL7" s="858"/>
      <c r="AM7" s="858"/>
      <c r="AN7" s="858"/>
      <c r="AO7" s="858"/>
      <c r="AP7" s="858"/>
      <c r="AQ7" s="858"/>
      <c r="AR7" s="858"/>
      <c r="AS7" s="858"/>
      <c r="AT7" s="858"/>
      <c r="AU7" s="858"/>
      <c r="AV7" s="858"/>
      <c r="AW7" s="858"/>
      <c r="AX7" s="280"/>
      <c r="AY7" s="280"/>
    </row>
    <row r="8" spans="1:51" ht="84.75" thickBot="1" x14ac:dyDescent="0.9">
      <c r="A8" s="1416"/>
      <c r="B8" s="1403" t="s">
        <v>1069</v>
      </c>
      <c r="C8" s="435" t="s">
        <v>1071</v>
      </c>
      <c r="D8" s="466" t="s">
        <v>1099</v>
      </c>
      <c r="E8" s="685">
        <f>'Tribal Measure Tool'!H15</f>
        <v>0</v>
      </c>
      <c r="F8" s="466" t="s">
        <v>1085</v>
      </c>
      <c r="G8" s="364">
        <f>'Tribal Measure Tool'!J15</f>
        <v>0</v>
      </c>
      <c r="H8" s="1309">
        <f>IF(E8&lt;550,8425,IF(E8&lt;20000,3270,1750))</f>
        <v>8425</v>
      </c>
      <c r="I8" s="791" t="s">
        <v>1109</v>
      </c>
      <c r="J8" s="712"/>
      <c r="K8" s="712"/>
      <c r="L8" s="715">
        <f>H8*E8*G8</f>
        <v>0</v>
      </c>
      <c r="M8" s="796" t="s">
        <v>1112</v>
      </c>
      <c r="N8" s="885" t="s">
        <v>1265</v>
      </c>
      <c r="O8" s="980"/>
      <c r="P8" s="997" t="s">
        <v>1218</v>
      </c>
      <c r="Q8" s="858"/>
      <c r="R8" s="858"/>
      <c r="S8" s="999"/>
      <c r="T8" s="989"/>
      <c r="U8" s="939" t="s">
        <v>1186</v>
      </c>
      <c r="V8" s="481"/>
      <c r="W8" s="481"/>
      <c r="X8" s="862"/>
      <c r="Y8" s="862"/>
      <c r="Z8" s="940"/>
      <c r="AA8" s="858"/>
      <c r="AB8" s="858"/>
      <c r="AC8" s="858"/>
      <c r="AD8" s="858"/>
      <c r="AE8" s="858"/>
      <c r="AF8" s="858"/>
      <c r="AG8" s="858"/>
      <c r="AH8" s="858"/>
      <c r="AI8" s="858"/>
      <c r="AJ8" s="858"/>
      <c r="AK8" s="858"/>
      <c r="AL8" s="858"/>
      <c r="AM8" s="858"/>
      <c r="AN8" s="858"/>
      <c r="AO8" s="858"/>
      <c r="AP8" s="858"/>
      <c r="AQ8" s="858"/>
      <c r="AR8" s="858"/>
      <c r="AS8" s="858"/>
      <c r="AT8" s="858"/>
      <c r="AU8" s="858"/>
      <c r="AV8" s="858"/>
      <c r="AW8" s="858"/>
      <c r="AX8" s="280"/>
      <c r="AY8" s="280"/>
    </row>
    <row r="9" spans="1:51" ht="105.75" thickBot="1" x14ac:dyDescent="0.9">
      <c r="A9" s="1416"/>
      <c r="B9" s="1403"/>
      <c r="C9" s="435" t="s">
        <v>1070</v>
      </c>
      <c r="D9" s="466" t="s">
        <v>1100</v>
      </c>
      <c r="E9" s="685">
        <f>'Tribal Measure Tool'!H16</f>
        <v>0</v>
      </c>
      <c r="F9" s="466" t="s">
        <v>1086</v>
      </c>
      <c r="G9" s="364">
        <f>'Tribal Measure Tool'!J16</f>
        <v>0</v>
      </c>
      <c r="H9" s="1309">
        <f>IF(E9&lt;550,2682,IF(E9&lt;20000,1761,1161))</f>
        <v>2682</v>
      </c>
      <c r="I9" s="791" t="s">
        <v>1109</v>
      </c>
      <c r="J9" s="712"/>
      <c r="K9" s="712"/>
      <c r="L9" s="715">
        <f>H9*E9*G9</f>
        <v>0</v>
      </c>
      <c r="M9" s="795" t="s">
        <v>1111</v>
      </c>
      <c r="N9" s="885" t="s">
        <v>1343</v>
      </c>
      <c r="O9" s="980"/>
      <c r="P9" s="997" t="s">
        <v>1219</v>
      </c>
      <c r="Q9" s="858"/>
      <c r="R9" s="858"/>
      <c r="S9" s="999"/>
      <c r="T9" s="858"/>
      <c r="U9" s="858"/>
      <c r="V9" s="280"/>
      <c r="W9" s="280"/>
      <c r="X9" s="858"/>
      <c r="Y9" s="858"/>
      <c r="Z9" s="858"/>
      <c r="AA9" s="858"/>
      <c r="AB9" s="858"/>
      <c r="AC9" s="858"/>
      <c r="AD9" s="858"/>
      <c r="AE9" s="858"/>
      <c r="AF9" s="858"/>
      <c r="AG9" s="858"/>
      <c r="AH9" s="858"/>
      <c r="AI9" s="858"/>
      <c r="AJ9" s="858"/>
      <c r="AK9" s="858"/>
      <c r="AL9" s="858"/>
      <c r="AM9" s="858"/>
      <c r="AN9" s="858"/>
      <c r="AO9" s="858"/>
      <c r="AP9" s="858"/>
      <c r="AQ9" s="858"/>
      <c r="AR9" s="858"/>
      <c r="AS9" s="858"/>
      <c r="AT9" s="858"/>
      <c r="AU9" s="858"/>
      <c r="AV9" s="858"/>
      <c r="AW9" s="858"/>
      <c r="AX9" s="280"/>
      <c r="AY9" s="280"/>
    </row>
    <row r="10" spans="1:51" ht="44.65" customHeight="1" thickBot="1" x14ac:dyDescent="1.3">
      <c r="A10" s="1553"/>
      <c r="B10" s="1541"/>
      <c r="C10" s="594" t="s">
        <v>823</v>
      </c>
      <c r="D10" s="688" t="s">
        <v>1102</v>
      </c>
      <c r="E10" s="689">
        <f>'Tribal Measure Tool'!H17</f>
        <v>0</v>
      </c>
      <c r="F10" s="688" t="s">
        <v>852</v>
      </c>
      <c r="G10" s="593">
        <f>'Tribal Measure Tool'!J17</f>
        <v>0</v>
      </c>
      <c r="H10" s="820">
        <f>2574</f>
        <v>2574</v>
      </c>
      <c r="I10" s="722" t="s">
        <v>1222</v>
      </c>
      <c r="J10" s="723"/>
      <c r="K10" s="722"/>
      <c r="L10" s="724">
        <f>H10*E10*G10</f>
        <v>0</v>
      </c>
      <c r="M10" s="798" t="s">
        <v>1114</v>
      </c>
      <c r="N10" s="885" t="s">
        <v>1266</v>
      </c>
      <c r="O10" s="982"/>
      <c r="P10" s="1002"/>
      <c r="Q10" s="858"/>
      <c r="R10" s="858"/>
      <c r="S10" s="999"/>
      <c r="T10" s="858"/>
      <c r="U10" s="941" t="s">
        <v>1216</v>
      </c>
      <c r="V10" s="942" t="s">
        <v>1217</v>
      </c>
      <c r="W10" s="943"/>
      <c r="X10" s="280"/>
      <c r="Y10" s="957" t="s">
        <v>1145</v>
      </c>
      <c r="Z10" s="958"/>
      <c r="AA10" s="958"/>
      <c r="AB10" s="959"/>
      <c r="AC10" s="858"/>
      <c r="AD10" s="858"/>
      <c r="AE10" s="858"/>
      <c r="AF10" s="858"/>
      <c r="AG10" s="858"/>
      <c r="AH10" s="858"/>
      <c r="AI10" s="858"/>
      <c r="AJ10" s="858"/>
      <c r="AK10" s="858"/>
      <c r="AL10" s="858"/>
      <c r="AM10" s="858"/>
      <c r="AN10" s="858"/>
      <c r="AO10" s="858"/>
      <c r="AP10" s="858"/>
      <c r="AQ10" s="858"/>
      <c r="AR10" s="858"/>
      <c r="AS10" s="858"/>
      <c r="AT10" s="858"/>
      <c r="AU10" s="858"/>
      <c r="AV10" s="858"/>
      <c r="AW10" s="858"/>
      <c r="AX10" s="280"/>
      <c r="AY10" s="280"/>
    </row>
    <row r="11" spans="1:51" s="736" customFormat="1" ht="44.65" hidden="1" customHeight="1" thickBot="1" x14ac:dyDescent="1.3">
      <c r="A11" s="732"/>
      <c r="B11" s="732"/>
      <c r="C11" s="733"/>
      <c r="D11" s="734"/>
      <c r="E11" s="734"/>
      <c r="F11" s="734"/>
      <c r="G11" s="734"/>
      <c r="H11" s="734"/>
      <c r="I11" s="734"/>
      <c r="J11" s="734"/>
      <c r="K11" s="734"/>
      <c r="L11" s="810"/>
      <c r="M11" s="846"/>
      <c r="N11" s="885"/>
      <c r="O11" s="811"/>
      <c r="P11" s="1003"/>
      <c r="Q11" s="860"/>
      <c r="R11" s="860"/>
      <c r="S11" s="1004"/>
      <c r="T11" s="858"/>
      <c r="U11" s="944"/>
      <c r="V11" s="898"/>
      <c r="W11" s="945"/>
      <c r="X11" s="898"/>
      <c r="Y11" s="960"/>
      <c r="Z11" s="825"/>
      <c r="AA11" s="825"/>
      <c r="AB11" s="961"/>
      <c r="AC11" s="860"/>
      <c r="AD11" s="860"/>
      <c r="AE11" s="860"/>
      <c r="AF11" s="860"/>
      <c r="AG11" s="860"/>
      <c r="AH11" s="860"/>
      <c r="AI11" s="860"/>
      <c r="AJ11" s="860"/>
      <c r="AK11" s="860"/>
      <c r="AL11" s="860"/>
      <c r="AM11" s="860"/>
      <c r="AN11" s="860"/>
      <c r="AO11" s="860"/>
      <c r="AP11" s="860"/>
      <c r="AQ11" s="860"/>
      <c r="AR11" s="860"/>
      <c r="AS11" s="860"/>
      <c r="AT11" s="860"/>
      <c r="AU11" s="860"/>
      <c r="AV11" s="860"/>
      <c r="AW11" s="860"/>
    </row>
    <row r="12" spans="1:51" ht="39" hidden="1" customHeight="1" x14ac:dyDescent="0.75">
      <c r="A12" s="1533" t="s">
        <v>529</v>
      </c>
      <c r="B12" s="1412" t="s">
        <v>70</v>
      </c>
      <c r="C12" s="725" t="s">
        <v>370</v>
      </c>
      <c r="D12" s="389" t="s">
        <v>642</v>
      </c>
      <c r="E12" s="726">
        <v>1</v>
      </c>
      <c r="F12" s="727" t="s">
        <v>629</v>
      </c>
      <c r="G12" s="728">
        <v>25</v>
      </c>
      <c r="H12" s="700">
        <f>865/0.001</f>
        <v>865000</v>
      </c>
      <c r="I12" s="718" t="s">
        <v>1110</v>
      </c>
      <c r="J12" s="719"/>
      <c r="K12" s="718"/>
      <c r="L12" s="720">
        <f>H12*E12*G12</f>
        <v>21625000</v>
      </c>
      <c r="M12" s="795" t="s">
        <v>1111</v>
      </c>
      <c r="N12" s="885"/>
      <c r="O12" s="980"/>
      <c r="P12" s="1001"/>
      <c r="Q12" s="910"/>
      <c r="R12" s="910"/>
      <c r="S12" s="999"/>
      <c r="T12" s="858"/>
      <c r="U12" s="944"/>
      <c r="V12" s="501"/>
      <c r="W12" s="946"/>
      <c r="X12" s="280"/>
      <c r="Y12" s="962"/>
      <c r="Z12" s="716"/>
      <c r="AA12" s="716"/>
      <c r="AB12" s="963"/>
      <c r="AC12" s="858"/>
      <c r="AD12" s="858"/>
      <c r="AE12" s="858"/>
      <c r="AF12" s="858"/>
      <c r="AG12" s="858"/>
      <c r="AH12" s="858"/>
      <c r="AI12" s="858"/>
      <c r="AJ12" s="858"/>
      <c r="AK12" s="858"/>
      <c r="AL12" s="858"/>
      <c r="AM12" s="858"/>
      <c r="AN12" s="858"/>
      <c r="AO12" s="858"/>
      <c r="AP12" s="858"/>
      <c r="AQ12" s="858"/>
      <c r="AR12" s="858"/>
      <c r="AS12" s="858"/>
      <c r="AT12" s="858"/>
      <c r="AU12" s="858"/>
      <c r="AV12" s="858"/>
      <c r="AW12" s="858"/>
      <c r="AX12" s="280"/>
      <c r="AY12" s="280"/>
    </row>
    <row r="13" spans="1:51" ht="39" hidden="1" customHeight="1" x14ac:dyDescent="0.75">
      <c r="A13" s="1534"/>
      <c r="B13" s="1413"/>
      <c r="C13" s="371" t="s">
        <v>789</v>
      </c>
      <c r="D13" s="390" t="s">
        <v>725</v>
      </c>
      <c r="E13" s="685">
        <v>5</v>
      </c>
      <c r="F13" s="466" t="s">
        <v>618</v>
      </c>
      <c r="G13" s="364">
        <v>1</v>
      </c>
      <c r="H13" s="702">
        <v>642</v>
      </c>
      <c r="I13" s="713" t="s">
        <v>1109</v>
      </c>
      <c r="J13" s="714"/>
      <c r="K13" s="713"/>
      <c r="L13" s="715">
        <f>H13*E13*G13</f>
        <v>3210</v>
      </c>
      <c r="M13" s="796" t="s">
        <v>1111</v>
      </c>
      <c r="N13" s="885"/>
      <c r="O13" s="980"/>
      <c r="P13" s="1005"/>
      <c r="Q13" s="858"/>
      <c r="R13" s="858"/>
      <c r="S13" s="999"/>
      <c r="T13" s="858"/>
      <c r="U13" s="944"/>
      <c r="V13" s="501"/>
      <c r="W13" s="946"/>
      <c r="X13" s="280"/>
      <c r="Y13" s="962"/>
      <c r="Z13" s="716"/>
      <c r="AA13" s="716"/>
      <c r="AB13" s="963"/>
      <c r="AC13" s="858"/>
      <c r="AD13" s="858"/>
      <c r="AE13" s="858"/>
      <c r="AF13" s="858"/>
      <c r="AG13" s="858"/>
      <c r="AH13" s="858"/>
      <c r="AI13" s="858"/>
      <c r="AJ13" s="858"/>
      <c r="AK13" s="858"/>
      <c r="AL13" s="858"/>
      <c r="AM13" s="858"/>
      <c r="AN13" s="858"/>
      <c r="AO13" s="858"/>
      <c r="AP13" s="858"/>
      <c r="AQ13" s="858"/>
      <c r="AR13" s="858"/>
      <c r="AS13" s="858"/>
      <c r="AT13" s="858"/>
      <c r="AU13" s="858"/>
      <c r="AV13" s="858"/>
      <c r="AW13" s="858"/>
      <c r="AX13" s="280"/>
      <c r="AY13" s="280"/>
    </row>
    <row r="14" spans="1:51" ht="39" hidden="1" customHeight="1" x14ac:dyDescent="0.75">
      <c r="A14" s="1534"/>
      <c r="B14" s="1434" t="s">
        <v>608</v>
      </c>
      <c r="C14" s="371" t="s">
        <v>597</v>
      </c>
      <c r="D14" s="390" t="s">
        <v>640</v>
      </c>
      <c r="E14" s="685">
        <v>4</v>
      </c>
      <c r="F14" s="466" t="s">
        <v>616</v>
      </c>
      <c r="G14" s="364">
        <v>25</v>
      </c>
      <c r="H14" s="701">
        <f>865</f>
        <v>865</v>
      </c>
      <c r="I14" s="713" t="s">
        <v>1109</v>
      </c>
      <c r="J14" s="714"/>
      <c r="K14" s="713"/>
      <c r="L14" s="715">
        <f t="shared" ref="L14:L16" si="0">H14*E14*G14</f>
        <v>86500</v>
      </c>
      <c r="M14" s="796" t="s">
        <v>1111</v>
      </c>
      <c r="N14" s="885"/>
      <c r="O14" s="980"/>
      <c r="P14" s="1568"/>
      <c r="Q14" s="1537"/>
      <c r="R14" s="503"/>
      <c r="S14" s="1006"/>
      <c r="T14" s="858"/>
      <c r="U14" s="944"/>
      <c r="V14" s="501"/>
      <c r="W14" s="946"/>
      <c r="X14" s="280"/>
      <c r="Y14" s="964"/>
      <c r="Z14" s="826"/>
      <c r="AA14" s="827"/>
      <c r="AB14" s="965"/>
      <c r="AC14" s="858"/>
      <c r="AD14" s="858"/>
      <c r="AE14" s="858"/>
      <c r="AF14" s="858"/>
      <c r="AG14" s="858"/>
      <c r="AH14" s="858"/>
      <c r="AI14" s="858"/>
      <c r="AJ14" s="858"/>
      <c r="AK14" s="858"/>
      <c r="AL14" s="858"/>
      <c r="AM14" s="858"/>
      <c r="AN14" s="858"/>
      <c r="AO14" s="858"/>
      <c r="AP14" s="858"/>
      <c r="AQ14" s="858"/>
      <c r="AR14" s="858"/>
      <c r="AS14" s="858"/>
      <c r="AT14" s="858"/>
      <c r="AU14" s="858"/>
      <c r="AV14" s="858"/>
      <c r="AW14" s="858"/>
      <c r="AX14" s="280"/>
      <c r="AY14" s="280"/>
    </row>
    <row r="15" spans="1:51" ht="39" hidden="1" customHeight="1" x14ac:dyDescent="1.35">
      <c r="A15" s="1534"/>
      <c r="B15" s="1434"/>
      <c r="C15" s="371" t="s">
        <v>598</v>
      </c>
      <c r="D15" s="390" t="s">
        <v>640</v>
      </c>
      <c r="E15" s="685">
        <v>4</v>
      </c>
      <c r="F15" s="466" t="s">
        <v>617</v>
      </c>
      <c r="G15" s="364">
        <v>10</v>
      </c>
      <c r="H15" s="701">
        <f>865</f>
        <v>865</v>
      </c>
      <c r="I15" s="713" t="s">
        <v>1109</v>
      </c>
      <c r="J15" s="714"/>
      <c r="K15" s="713"/>
      <c r="L15" s="715">
        <f t="shared" si="0"/>
        <v>34600</v>
      </c>
      <c r="M15" s="796" t="s">
        <v>1111</v>
      </c>
      <c r="N15" s="885"/>
      <c r="O15" s="980"/>
      <c r="P15" s="1569"/>
      <c r="Q15" s="1538"/>
      <c r="R15" s="502"/>
      <c r="S15" s="1007"/>
      <c r="T15" s="858"/>
      <c r="U15" s="944"/>
      <c r="V15" s="501"/>
      <c r="W15" s="946"/>
      <c r="X15" s="280"/>
      <c r="Y15" s="966"/>
      <c r="Z15" s="828"/>
      <c r="AA15" s="827"/>
      <c r="AB15" s="965"/>
      <c r="AC15" s="858"/>
      <c r="AD15" s="858"/>
      <c r="AE15" s="858"/>
      <c r="AF15" s="858"/>
      <c r="AG15" s="858"/>
      <c r="AH15" s="858"/>
      <c r="AI15" s="858"/>
      <c r="AJ15" s="858"/>
      <c r="AK15" s="858"/>
      <c r="AL15" s="858"/>
      <c r="AM15" s="858"/>
      <c r="AN15" s="858"/>
      <c r="AO15" s="858"/>
      <c r="AP15" s="858"/>
      <c r="AQ15" s="858"/>
      <c r="AR15" s="858"/>
      <c r="AS15" s="858"/>
      <c r="AT15" s="858"/>
      <c r="AU15" s="858"/>
      <c r="AV15" s="858"/>
      <c r="AW15" s="858"/>
      <c r="AX15" s="280"/>
      <c r="AY15" s="280"/>
    </row>
    <row r="16" spans="1:51" ht="39" hidden="1" customHeight="1" x14ac:dyDescent="0.75">
      <c r="A16" s="1534"/>
      <c r="B16" s="1434"/>
      <c r="C16" s="371" t="s">
        <v>599</v>
      </c>
      <c r="D16" s="390" t="s">
        <v>640</v>
      </c>
      <c r="E16" s="685">
        <v>4</v>
      </c>
      <c r="F16" s="466" t="s">
        <v>618</v>
      </c>
      <c r="G16" s="364">
        <v>5</v>
      </c>
      <c r="H16" s="701">
        <f>865</f>
        <v>865</v>
      </c>
      <c r="I16" s="713" t="s">
        <v>1109</v>
      </c>
      <c r="J16" s="714"/>
      <c r="K16" s="713"/>
      <c r="L16" s="715">
        <f t="shared" si="0"/>
        <v>17300</v>
      </c>
      <c r="M16" s="796" t="s">
        <v>1111</v>
      </c>
      <c r="N16" s="885"/>
      <c r="O16" s="980"/>
      <c r="P16" s="1008"/>
      <c r="Q16" s="1009"/>
      <c r="R16" s="1010"/>
      <c r="S16" s="1574"/>
      <c r="T16" s="858"/>
      <c r="U16" s="944"/>
      <c r="V16" s="501"/>
      <c r="W16" s="946"/>
      <c r="X16" s="280"/>
      <c r="Y16" s="1575"/>
      <c r="Z16" s="1543"/>
      <c r="AA16" s="827"/>
      <c r="AB16" s="965"/>
      <c r="AC16" s="858"/>
      <c r="AD16" s="858"/>
      <c r="AE16" s="858"/>
      <c r="AF16" s="858"/>
      <c r="AG16" s="858"/>
      <c r="AH16" s="858"/>
      <c r="AI16" s="858"/>
      <c r="AJ16" s="858"/>
      <c r="AK16" s="858"/>
      <c r="AL16" s="858"/>
      <c r="AM16" s="858"/>
      <c r="AN16" s="858"/>
      <c r="AO16" s="858"/>
      <c r="AP16" s="858"/>
      <c r="AQ16" s="858"/>
      <c r="AR16" s="858"/>
      <c r="AS16" s="858"/>
      <c r="AT16" s="858"/>
      <c r="AU16" s="858"/>
      <c r="AV16" s="858"/>
      <c r="AW16" s="858"/>
      <c r="AX16" s="280"/>
      <c r="AY16" s="280"/>
    </row>
    <row r="17" spans="1:51" ht="39" hidden="1" customHeight="1" x14ac:dyDescent="0.75">
      <c r="A17" s="1534"/>
      <c r="B17" s="1434" t="s">
        <v>609</v>
      </c>
      <c r="C17" s="371" t="s">
        <v>600</v>
      </c>
      <c r="D17" s="390" t="s">
        <v>641</v>
      </c>
      <c r="E17" s="685">
        <v>4</v>
      </c>
      <c r="F17" s="466" t="s">
        <v>616</v>
      </c>
      <c r="G17" s="364">
        <v>10</v>
      </c>
      <c r="H17" s="701">
        <v>8425</v>
      </c>
      <c r="I17" s="713" t="s">
        <v>1109</v>
      </c>
      <c r="J17" s="714"/>
      <c r="K17" s="713"/>
      <c r="L17" s="715">
        <f>H17*E17*G17</f>
        <v>337000</v>
      </c>
      <c r="M17" s="796" t="s">
        <v>1112</v>
      </c>
      <c r="N17" s="885"/>
      <c r="O17" s="980"/>
      <c r="P17" s="1005"/>
      <c r="Q17" s="858"/>
      <c r="R17" s="858"/>
      <c r="S17" s="1574"/>
      <c r="T17" s="858"/>
      <c r="U17" s="944"/>
      <c r="V17" s="501"/>
      <c r="W17" s="946"/>
      <c r="X17" s="280"/>
      <c r="Y17" s="1575"/>
      <c r="Z17" s="1543"/>
      <c r="AA17" s="716"/>
      <c r="AB17" s="965"/>
      <c r="AC17" s="858"/>
      <c r="AD17" s="858"/>
      <c r="AE17" s="858"/>
      <c r="AF17" s="858"/>
      <c r="AG17" s="858"/>
      <c r="AH17" s="858"/>
      <c r="AI17" s="858"/>
      <c r="AJ17" s="858"/>
      <c r="AK17" s="858"/>
      <c r="AL17" s="858"/>
      <c r="AM17" s="858"/>
      <c r="AN17" s="858"/>
      <c r="AO17" s="858"/>
      <c r="AP17" s="858"/>
      <c r="AQ17" s="858"/>
      <c r="AR17" s="858"/>
      <c r="AS17" s="858"/>
      <c r="AT17" s="858"/>
      <c r="AU17" s="858"/>
      <c r="AV17" s="858"/>
      <c r="AW17" s="858"/>
      <c r="AX17" s="280"/>
      <c r="AY17" s="280"/>
    </row>
    <row r="18" spans="1:51" s="318" customFormat="1" ht="39" hidden="1" customHeight="1" x14ac:dyDescent="0.75">
      <c r="A18" s="1534"/>
      <c r="B18" s="1434"/>
      <c r="C18" s="371" t="s">
        <v>601</v>
      </c>
      <c r="D18" s="390" t="s">
        <v>641</v>
      </c>
      <c r="E18" s="685">
        <v>8</v>
      </c>
      <c r="F18" s="466" t="s">
        <v>617</v>
      </c>
      <c r="G18" s="364">
        <v>10</v>
      </c>
      <c r="H18" s="701">
        <v>6327</v>
      </c>
      <c r="I18" s="713" t="s">
        <v>1109</v>
      </c>
      <c r="J18" s="714"/>
      <c r="K18" s="713"/>
      <c r="L18" s="715">
        <f>H18*E18*G18</f>
        <v>506160</v>
      </c>
      <c r="M18" s="796" t="s">
        <v>1112</v>
      </c>
      <c r="N18" s="885"/>
      <c r="O18" s="980"/>
      <c r="P18" s="1569"/>
      <c r="Q18" s="1538"/>
      <c r="R18" s="858"/>
      <c r="S18" s="1011"/>
      <c r="T18" s="858"/>
      <c r="U18" s="944"/>
      <c r="W18" s="947"/>
      <c r="Y18" s="967"/>
      <c r="Z18" s="829"/>
      <c r="AA18" s="829"/>
      <c r="AB18" s="968"/>
    </row>
    <row r="19" spans="1:51" ht="39" hidden="1" customHeight="1" x14ac:dyDescent="0.75">
      <c r="A19" s="1534"/>
      <c r="B19" s="1434"/>
      <c r="C19" s="371" t="s">
        <v>602</v>
      </c>
      <c r="D19" s="390" t="s">
        <v>641</v>
      </c>
      <c r="E19" s="685">
        <v>8</v>
      </c>
      <c r="F19" s="466" t="s">
        <v>618</v>
      </c>
      <c r="G19" s="364">
        <v>10</v>
      </c>
      <c r="H19" s="701">
        <v>6327</v>
      </c>
      <c r="I19" s="713" t="s">
        <v>1109</v>
      </c>
      <c r="J19" s="714"/>
      <c r="K19" s="713"/>
      <c r="L19" s="715">
        <f>H19*E19*G19</f>
        <v>506160</v>
      </c>
      <c r="M19" s="796" t="s">
        <v>1112</v>
      </c>
      <c r="N19" s="885"/>
      <c r="O19" s="980"/>
      <c r="P19" s="1546"/>
      <c r="Q19" s="1539"/>
      <c r="R19" s="858"/>
      <c r="S19" s="999"/>
      <c r="T19" s="858"/>
      <c r="U19" s="944"/>
      <c r="V19" s="501"/>
      <c r="W19" s="946"/>
      <c r="X19" s="280"/>
      <c r="Y19" s="962"/>
      <c r="Z19" s="716"/>
      <c r="AA19" s="716"/>
      <c r="AB19" s="963"/>
      <c r="AC19" s="858"/>
      <c r="AD19" s="858"/>
      <c r="AE19" s="858"/>
      <c r="AF19" s="858"/>
      <c r="AG19" s="858"/>
      <c r="AH19" s="858"/>
      <c r="AI19" s="858"/>
      <c r="AJ19" s="858"/>
      <c r="AK19" s="858"/>
      <c r="AL19" s="858"/>
      <c r="AM19" s="858"/>
      <c r="AN19" s="858"/>
      <c r="AO19" s="858"/>
      <c r="AP19" s="858"/>
      <c r="AQ19" s="858"/>
      <c r="AR19" s="858"/>
      <c r="AS19" s="858"/>
      <c r="AT19" s="858"/>
      <c r="AU19" s="858"/>
      <c r="AV19" s="858"/>
      <c r="AW19" s="858"/>
      <c r="AX19" s="280"/>
      <c r="AY19" s="280"/>
    </row>
    <row r="20" spans="1:51" ht="39" hidden="1" customHeight="1" x14ac:dyDescent="0.75">
      <c r="A20" s="1534"/>
      <c r="B20" s="1434" t="s">
        <v>610</v>
      </c>
      <c r="C20" s="371" t="s">
        <v>603</v>
      </c>
      <c r="D20" s="390" t="s">
        <v>616</v>
      </c>
      <c r="E20" s="685"/>
      <c r="F20" s="466"/>
      <c r="G20" s="364"/>
      <c r="H20" s="701"/>
      <c r="I20" s="713"/>
      <c r="J20" s="714"/>
      <c r="K20" s="713"/>
      <c r="L20" s="715"/>
      <c r="M20" s="797"/>
      <c r="N20" s="885"/>
      <c r="O20" s="835"/>
      <c r="P20" s="1546"/>
      <c r="Q20" s="1539"/>
      <c r="R20" s="858"/>
      <c r="S20" s="999"/>
      <c r="T20" s="858"/>
      <c r="U20" s="944"/>
      <c r="V20" s="501"/>
      <c r="W20" s="946"/>
      <c r="X20" s="280"/>
      <c r="Y20" s="962"/>
      <c r="Z20" s="716"/>
      <c r="AA20" s="716"/>
      <c r="AB20" s="963"/>
      <c r="AC20" s="858"/>
      <c r="AD20" s="858"/>
      <c r="AE20" s="858"/>
      <c r="AF20" s="858"/>
      <c r="AG20" s="858"/>
      <c r="AH20" s="858"/>
      <c r="AI20" s="858"/>
      <c r="AJ20" s="858"/>
      <c r="AK20" s="858"/>
      <c r="AL20" s="858"/>
      <c r="AM20" s="858"/>
      <c r="AN20" s="858"/>
      <c r="AO20" s="858"/>
      <c r="AP20" s="858"/>
      <c r="AQ20" s="858"/>
      <c r="AR20" s="858"/>
      <c r="AS20" s="858"/>
      <c r="AT20" s="858"/>
      <c r="AU20" s="858"/>
      <c r="AV20" s="858"/>
      <c r="AW20" s="858"/>
      <c r="AX20" s="280"/>
      <c r="AY20" s="280"/>
    </row>
    <row r="21" spans="1:51" ht="39" hidden="1" customHeight="1" x14ac:dyDescent="0.75">
      <c r="A21" s="1534"/>
      <c r="B21" s="1434"/>
      <c r="C21" s="371" t="s">
        <v>604</v>
      </c>
      <c r="D21" s="390" t="s">
        <v>617</v>
      </c>
      <c r="E21" s="685"/>
      <c r="F21" s="466"/>
      <c r="G21" s="364"/>
      <c r="H21" s="701"/>
      <c r="I21" s="713"/>
      <c r="J21" s="714"/>
      <c r="K21" s="713"/>
      <c r="L21" s="715"/>
      <c r="M21" s="797"/>
      <c r="N21" s="885"/>
      <c r="O21" s="835"/>
      <c r="P21" s="1546"/>
      <c r="Q21" s="1539"/>
      <c r="R21" s="858"/>
      <c r="S21" s="999"/>
      <c r="T21" s="858"/>
      <c r="U21" s="944"/>
      <c r="V21" s="501"/>
      <c r="W21" s="946"/>
      <c r="X21" s="280"/>
      <c r="Y21" s="962"/>
      <c r="Z21" s="716"/>
      <c r="AA21" s="716"/>
      <c r="AB21" s="963"/>
      <c r="AC21" s="858"/>
      <c r="AD21" s="858"/>
      <c r="AE21" s="858"/>
      <c r="AF21" s="858"/>
      <c r="AG21" s="858"/>
      <c r="AH21" s="858"/>
      <c r="AI21" s="858"/>
      <c r="AJ21" s="858"/>
      <c r="AK21" s="858"/>
      <c r="AL21" s="858"/>
      <c r="AM21" s="858"/>
      <c r="AN21" s="858"/>
      <c r="AO21" s="858"/>
      <c r="AP21" s="858"/>
      <c r="AQ21" s="858"/>
      <c r="AR21" s="858"/>
      <c r="AS21" s="858"/>
      <c r="AT21" s="858"/>
      <c r="AU21" s="858"/>
      <c r="AV21" s="858"/>
      <c r="AW21" s="858"/>
      <c r="AX21" s="280"/>
      <c r="AY21" s="280"/>
    </row>
    <row r="22" spans="1:51" ht="39" hidden="1" customHeight="1" x14ac:dyDescent="0.75">
      <c r="A22" s="1534"/>
      <c r="B22" s="1434"/>
      <c r="C22" s="371" t="s">
        <v>605</v>
      </c>
      <c r="D22" s="390" t="s">
        <v>618</v>
      </c>
      <c r="E22" s="685"/>
      <c r="F22" s="466"/>
      <c r="G22" s="364"/>
      <c r="H22" s="701"/>
      <c r="I22" s="713"/>
      <c r="J22" s="714"/>
      <c r="K22" s="713"/>
      <c r="L22" s="715"/>
      <c r="M22" s="797"/>
      <c r="N22" s="885"/>
      <c r="O22" s="835"/>
      <c r="P22" s="1546"/>
      <c r="Q22" s="1539"/>
      <c r="R22" s="858"/>
      <c r="S22" s="999"/>
      <c r="T22" s="858"/>
      <c r="U22" s="944"/>
      <c r="V22" s="501"/>
      <c r="W22" s="946"/>
      <c r="X22" s="280"/>
      <c r="Y22" s="962"/>
      <c r="Z22" s="716"/>
      <c r="AA22" s="716"/>
      <c r="AB22" s="963"/>
      <c r="AC22" s="858"/>
      <c r="AD22" s="858"/>
      <c r="AE22" s="858"/>
      <c r="AF22" s="858"/>
      <c r="AG22" s="858"/>
      <c r="AH22" s="858"/>
      <c r="AI22" s="858"/>
      <c r="AJ22" s="858"/>
      <c r="AK22" s="858"/>
      <c r="AL22" s="858"/>
      <c r="AM22" s="858"/>
      <c r="AN22" s="858"/>
      <c r="AO22" s="858"/>
      <c r="AP22" s="858"/>
      <c r="AQ22" s="858"/>
      <c r="AR22" s="858"/>
      <c r="AS22" s="858"/>
      <c r="AT22" s="858"/>
      <c r="AU22" s="858"/>
      <c r="AV22" s="858"/>
      <c r="AW22" s="858"/>
      <c r="AX22" s="280"/>
      <c r="AY22" s="280"/>
    </row>
    <row r="23" spans="1:51" ht="39" hidden="1" customHeight="1" x14ac:dyDescent="0.75">
      <c r="A23" s="1534"/>
      <c r="B23" s="1438" t="s">
        <v>788</v>
      </c>
      <c r="C23" s="371" t="s">
        <v>861</v>
      </c>
      <c r="D23" s="390" t="s">
        <v>786</v>
      </c>
      <c r="E23" s="685">
        <v>10</v>
      </c>
      <c r="F23" s="466" t="s">
        <v>630</v>
      </c>
      <c r="G23" s="364">
        <v>1</v>
      </c>
      <c r="H23" s="701">
        <f>3270/0.001</f>
        <v>3270000</v>
      </c>
      <c r="I23" s="713" t="s">
        <v>1110</v>
      </c>
      <c r="J23" s="714"/>
      <c r="K23" s="713"/>
      <c r="L23" s="715">
        <f>H23*E23*G23</f>
        <v>32700000</v>
      </c>
      <c r="M23" s="796" t="s">
        <v>1112</v>
      </c>
      <c r="N23" s="885"/>
      <c r="O23" s="980"/>
      <c r="P23" s="1546"/>
      <c r="Q23" s="1539"/>
      <c r="R23" s="858"/>
      <c r="S23" s="999"/>
      <c r="T23" s="858"/>
      <c r="U23" s="944"/>
      <c r="V23" s="501"/>
      <c r="W23" s="946"/>
      <c r="X23" s="280"/>
      <c r="Y23" s="962"/>
      <c r="Z23" s="716"/>
      <c r="AA23" s="716"/>
      <c r="AB23" s="963"/>
      <c r="AC23" s="858"/>
      <c r="AD23" s="858"/>
      <c r="AE23" s="858"/>
      <c r="AF23" s="858"/>
      <c r="AG23" s="858"/>
      <c r="AH23" s="858"/>
      <c r="AI23" s="858"/>
      <c r="AJ23" s="858"/>
      <c r="AK23" s="858"/>
      <c r="AL23" s="858"/>
      <c r="AM23" s="858"/>
      <c r="AN23" s="858"/>
      <c r="AO23" s="858"/>
      <c r="AP23" s="858"/>
      <c r="AQ23" s="858"/>
      <c r="AR23" s="858"/>
      <c r="AS23" s="858"/>
      <c r="AT23" s="858"/>
      <c r="AU23" s="858"/>
      <c r="AV23" s="858"/>
      <c r="AW23" s="858"/>
      <c r="AX23" s="280"/>
      <c r="AY23" s="280"/>
    </row>
    <row r="24" spans="1:51" ht="39" hidden="1" customHeight="1" x14ac:dyDescent="0.75">
      <c r="A24" s="1534"/>
      <c r="B24" s="1438"/>
      <c r="C24" s="371" t="s">
        <v>825</v>
      </c>
      <c r="D24" s="390" t="s">
        <v>787</v>
      </c>
      <c r="E24" s="685">
        <v>5</v>
      </c>
      <c r="F24" s="466" t="s">
        <v>785</v>
      </c>
      <c r="G24" s="364">
        <v>10</v>
      </c>
      <c r="H24" s="701">
        <f>473/0.001</f>
        <v>473000</v>
      </c>
      <c r="I24" s="713" t="s">
        <v>1110</v>
      </c>
      <c r="J24" s="714"/>
      <c r="K24" s="713"/>
      <c r="L24" s="715">
        <f>H24*E24*G24</f>
        <v>23650000</v>
      </c>
      <c r="M24" s="796" t="s">
        <v>1111</v>
      </c>
      <c r="N24" s="885"/>
      <c r="O24" s="980"/>
      <c r="P24" s="1546"/>
      <c r="Q24" s="1539"/>
      <c r="R24" s="858"/>
      <c r="S24" s="999"/>
      <c r="T24" s="858"/>
      <c r="U24" s="944"/>
      <c r="V24" s="501"/>
      <c r="W24" s="946"/>
      <c r="X24" s="280"/>
      <c r="Y24" s="962"/>
      <c r="Z24" s="716"/>
      <c r="AA24" s="716"/>
      <c r="AB24" s="963"/>
      <c r="AC24" s="858"/>
      <c r="AD24" s="858"/>
      <c r="AE24" s="858"/>
      <c r="AF24" s="858"/>
      <c r="AG24" s="858"/>
      <c r="AH24" s="858"/>
      <c r="AI24" s="858"/>
      <c r="AJ24" s="858"/>
      <c r="AK24" s="858"/>
      <c r="AL24" s="858"/>
      <c r="AM24" s="858"/>
      <c r="AN24" s="858"/>
      <c r="AO24" s="858"/>
      <c r="AP24" s="858"/>
      <c r="AQ24" s="858"/>
      <c r="AR24" s="858"/>
      <c r="AS24" s="858"/>
      <c r="AT24" s="858"/>
      <c r="AU24" s="858"/>
      <c r="AV24" s="858"/>
      <c r="AW24" s="858"/>
      <c r="AX24" s="280"/>
      <c r="AY24" s="280"/>
    </row>
    <row r="25" spans="1:51" ht="39" hidden="1" customHeight="1" x14ac:dyDescent="0.75">
      <c r="A25" s="1534"/>
      <c r="B25" s="1438"/>
      <c r="C25" s="371" t="s">
        <v>823</v>
      </c>
      <c r="D25" s="390" t="s">
        <v>851</v>
      </c>
      <c r="E25" s="685"/>
      <c r="F25" s="466" t="s">
        <v>852</v>
      </c>
      <c r="G25" s="364"/>
      <c r="H25" s="701">
        <f>2574/0.01</f>
        <v>257400</v>
      </c>
      <c r="I25" s="713" t="s">
        <v>1110</v>
      </c>
      <c r="J25" s="714"/>
      <c r="K25" s="713"/>
      <c r="L25" s="715">
        <f>H25*E25*G25</f>
        <v>0</v>
      </c>
      <c r="M25" s="796" t="s">
        <v>1114</v>
      </c>
      <c r="N25" s="885"/>
      <c r="O25" s="980"/>
      <c r="P25" s="1546"/>
      <c r="Q25" s="1539"/>
      <c r="R25" s="858"/>
      <c r="S25" s="999"/>
      <c r="T25" s="858"/>
      <c r="U25" s="944"/>
      <c r="V25" s="501"/>
      <c r="W25" s="946"/>
      <c r="X25" s="280"/>
      <c r="Y25" s="962"/>
      <c r="Z25" s="716"/>
      <c r="AA25" s="716"/>
      <c r="AB25" s="963"/>
      <c r="AC25" s="858"/>
      <c r="AD25" s="858"/>
      <c r="AE25" s="858"/>
      <c r="AF25" s="858"/>
      <c r="AG25" s="858"/>
      <c r="AH25" s="858"/>
      <c r="AI25" s="858"/>
      <c r="AJ25" s="858"/>
      <c r="AK25" s="858"/>
      <c r="AL25" s="858"/>
      <c r="AM25" s="858"/>
      <c r="AN25" s="858"/>
      <c r="AO25" s="858"/>
      <c r="AP25" s="858"/>
      <c r="AQ25" s="858"/>
      <c r="AR25" s="858"/>
      <c r="AS25" s="858"/>
      <c r="AT25" s="858"/>
      <c r="AU25" s="858"/>
      <c r="AV25" s="858"/>
      <c r="AW25" s="858"/>
      <c r="AX25" s="280"/>
      <c r="AY25" s="280"/>
    </row>
    <row r="26" spans="1:51" ht="39" hidden="1" customHeight="1" x14ac:dyDescent="0.75">
      <c r="A26" s="1534"/>
      <c r="B26" s="1438" t="s">
        <v>822</v>
      </c>
      <c r="C26" s="371" t="s">
        <v>862</v>
      </c>
      <c r="D26" s="390" t="s">
        <v>853</v>
      </c>
      <c r="E26" s="685">
        <v>20</v>
      </c>
      <c r="F26" s="466" t="s">
        <v>630</v>
      </c>
      <c r="G26" s="364">
        <v>1</v>
      </c>
      <c r="H26" s="701">
        <f>1750/0.001</f>
        <v>1750000</v>
      </c>
      <c r="I26" s="713" t="s">
        <v>1110</v>
      </c>
      <c r="J26" s="714"/>
      <c r="K26" s="713"/>
      <c r="L26" s="715">
        <f>H26*E26*G26</f>
        <v>35000000</v>
      </c>
      <c r="M26" s="796" t="s">
        <v>1112</v>
      </c>
      <c r="N26" s="885"/>
      <c r="O26" s="980"/>
      <c r="P26" s="1546"/>
      <c r="Q26" s="1539"/>
      <c r="R26" s="858"/>
      <c r="S26" s="999"/>
      <c r="T26" s="858"/>
      <c r="U26" s="944"/>
      <c r="V26" s="501"/>
      <c r="W26" s="946"/>
      <c r="X26" s="280"/>
      <c r="Y26" s="962"/>
      <c r="Z26" s="716"/>
      <c r="AA26" s="716"/>
      <c r="AB26" s="963"/>
      <c r="AC26" s="858"/>
      <c r="AD26" s="858"/>
      <c r="AE26" s="858"/>
      <c r="AF26" s="858"/>
      <c r="AG26" s="858"/>
      <c r="AH26" s="858"/>
      <c r="AI26" s="858"/>
      <c r="AJ26" s="858"/>
      <c r="AK26" s="858"/>
      <c r="AL26" s="858"/>
      <c r="AM26" s="858"/>
      <c r="AN26" s="858"/>
      <c r="AO26" s="858"/>
      <c r="AP26" s="858"/>
      <c r="AQ26" s="858"/>
      <c r="AR26" s="858"/>
      <c r="AS26" s="858"/>
      <c r="AT26" s="858"/>
      <c r="AU26" s="858"/>
      <c r="AV26" s="858"/>
      <c r="AW26" s="858"/>
      <c r="AX26" s="280"/>
      <c r="AY26" s="280"/>
    </row>
    <row r="27" spans="1:51" ht="39" hidden="1" customHeight="1" thickBot="1" x14ac:dyDescent="0.9">
      <c r="A27" s="1535"/>
      <c r="B27" s="1541"/>
      <c r="C27" s="372" t="s">
        <v>824</v>
      </c>
      <c r="D27" s="691" t="s">
        <v>854</v>
      </c>
      <c r="E27" s="689">
        <v>20</v>
      </c>
      <c r="F27" s="688" t="s">
        <v>785</v>
      </c>
      <c r="G27" s="593">
        <v>10</v>
      </c>
      <c r="H27" s="703">
        <f>467/0.001</f>
        <v>467000</v>
      </c>
      <c r="I27" s="722" t="s">
        <v>1110</v>
      </c>
      <c r="J27" s="723"/>
      <c r="K27" s="722"/>
      <c r="L27" s="724">
        <f>H27*E27*G27</f>
        <v>93400000</v>
      </c>
      <c r="M27" s="798" t="s">
        <v>1111</v>
      </c>
      <c r="N27" s="885"/>
      <c r="O27" s="980"/>
      <c r="P27" s="1546"/>
      <c r="Q27" s="1539"/>
      <c r="R27" s="858"/>
      <c r="S27" s="999"/>
      <c r="T27" s="858"/>
      <c r="U27" s="944"/>
      <c r="V27" s="501"/>
      <c r="W27" s="946"/>
      <c r="X27" s="280"/>
      <c r="Y27" s="962"/>
      <c r="Z27" s="716"/>
      <c r="AA27" s="716"/>
      <c r="AB27" s="963"/>
      <c r="AC27" s="858"/>
      <c r="AD27" s="858"/>
      <c r="AE27" s="858"/>
      <c r="AF27" s="858"/>
      <c r="AG27" s="858"/>
      <c r="AH27" s="858"/>
      <c r="AI27" s="858"/>
      <c r="AJ27" s="858"/>
      <c r="AK27" s="858"/>
      <c r="AL27" s="858"/>
      <c r="AM27" s="858"/>
      <c r="AN27" s="858"/>
      <c r="AO27" s="858"/>
      <c r="AP27" s="858"/>
      <c r="AQ27" s="858"/>
      <c r="AR27" s="858"/>
      <c r="AS27" s="858"/>
      <c r="AT27" s="858"/>
      <c r="AU27" s="858"/>
      <c r="AV27" s="858"/>
      <c r="AW27" s="858"/>
      <c r="AX27" s="280"/>
      <c r="AY27" s="280"/>
    </row>
    <row r="28" spans="1:51" s="749" customFormat="1" ht="39" hidden="1" customHeight="1" thickBot="1" x14ac:dyDescent="0.9">
      <c r="A28" s="737"/>
      <c r="B28" s="738"/>
      <c r="C28" s="739"/>
      <c r="D28" s="740"/>
      <c r="E28" s="741"/>
      <c r="F28" s="742"/>
      <c r="G28" s="743"/>
      <c r="H28" s="744"/>
      <c r="I28" s="745"/>
      <c r="J28" s="746"/>
      <c r="K28" s="745"/>
      <c r="L28" s="747"/>
      <c r="M28" s="793"/>
      <c r="N28" s="885"/>
      <c r="O28" s="983"/>
      <c r="P28" s="1012"/>
      <c r="Q28" s="748"/>
      <c r="R28" s="860"/>
      <c r="S28" s="1004"/>
      <c r="T28" s="858"/>
      <c r="U28" s="944"/>
      <c r="V28" s="280"/>
      <c r="W28" s="946"/>
      <c r="X28" s="280"/>
      <c r="Y28" s="969"/>
      <c r="Z28" s="830"/>
      <c r="AA28" s="830"/>
      <c r="AB28" s="970"/>
      <c r="AC28" s="860"/>
      <c r="AD28" s="860"/>
      <c r="AE28" s="860"/>
      <c r="AF28" s="860"/>
      <c r="AG28" s="860"/>
      <c r="AH28" s="860"/>
      <c r="AI28" s="860"/>
      <c r="AJ28" s="860"/>
      <c r="AK28" s="860"/>
      <c r="AL28" s="860"/>
      <c r="AM28" s="860"/>
      <c r="AN28" s="860"/>
      <c r="AO28" s="860"/>
      <c r="AP28" s="860"/>
      <c r="AQ28" s="860"/>
      <c r="AR28" s="860"/>
      <c r="AS28" s="860"/>
      <c r="AT28" s="860"/>
      <c r="AU28" s="860"/>
      <c r="AV28" s="860"/>
      <c r="AW28" s="860"/>
    </row>
    <row r="29" spans="1:51" ht="39" customHeight="1" thickBot="1" x14ac:dyDescent="1.05">
      <c r="A29" s="1416" t="s">
        <v>530</v>
      </c>
      <c r="B29" s="1558" t="s">
        <v>606</v>
      </c>
      <c r="C29" s="1101" t="s">
        <v>656</v>
      </c>
      <c r="D29" s="382" t="s">
        <v>1201</v>
      </c>
      <c r="E29" s="687">
        <f>'Tribal Measure Tool'!H18</f>
        <v>0</v>
      </c>
      <c r="F29" s="1102" t="s">
        <v>1297</v>
      </c>
      <c r="G29" s="1103">
        <f>'Tribal Measure Tool'!J18</f>
        <v>0</v>
      </c>
      <c r="H29" s="1099">
        <f>Q29*W34</f>
        <v>4782</v>
      </c>
      <c r="I29" s="1044" t="s">
        <v>1225</v>
      </c>
      <c r="J29" s="765">
        <f>H29*(2/3)</f>
        <v>3188</v>
      </c>
      <c r="K29" s="752" t="s">
        <v>1298</v>
      </c>
      <c r="L29" s="792">
        <f>H29*E29+G29*J29</f>
        <v>0</v>
      </c>
      <c r="M29" s="842" t="s">
        <v>1159</v>
      </c>
      <c r="N29" s="885" t="s">
        <v>1318</v>
      </c>
      <c r="O29" s="990" t="s">
        <v>1213</v>
      </c>
      <c r="P29" s="865" t="s">
        <v>1214</v>
      </c>
      <c r="Q29" s="1013">
        <f>W35</f>
        <v>1672.0279720279721</v>
      </c>
      <c r="R29" s="998"/>
      <c r="S29" s="999"/>
      <c r="T29" s="858"/>
      <c r="U29" s="948" t="s">
        <v>1205</v>
      </c>
      <c r="V29" s="896" t="s">
        <v>1206</v>
      </c>
      <c r="W29" s="949" t="s">
        <v>1207</v>
      </c>
      <c r="X29" s="280"/>
      <c r="Y29" s="971" t="s">
        <v>1146</v>
      </c>
      <c r="Z29" s="716" t="s">
        <v>1147</v>
      </c>
      <c r="AA29" s="716" t="s">
        <v>1148</v>
      </c>
      <c r="AB29" s="963"/>
      <c r="AC29" s="858"/>
      <c r="AD29" s="858"/>
      <c r="AE29" s="858"/>
      <c r="AF29" s="858"/>
      <c r="AG29" s="858"/>
      <c r="AH29" s="858"/>
      <c r="AI29" s="858"/>
      <c r="AJ29" s="858"/>
      <c r="AK29" s="858"/>
      <c r="AL29" s="858"/>
      <c r="AM29" s="858"/>
      <c r="AN29" s="858"/>
      <c r="AO29" s="858"/>
      <c r="AP29" s="858"/>
      <c r="AQ29" s="858"/>
      <c r="AR29" s="858"/>
      <c r="AS29" s="858"/>
      <c r="AT29" s="858"/>
      <c r="AU29" s="858"/>
      <c r="AV29" s="858"/>
      <c r="AW29" s="858"/>
      <c r="AX29" s="280"/>
      <c r="AY29" s="280"/>
    </row>
    <row r="30" spans="1:51" ht="39" customHeight="1" x14ac:dyDescent="1">
      <c r="A30" s="1418"/>
      <c r="B30" s="1556"/>
      <c r="C30" s="1104" t="s">
        <v>378</v>
      </c>
      <c r="D30" s="391" t="s">
        <v>1201</v>
      </c>
      <c r="E30" s="1097">
        <f>'Tribal Measure Tool'!H19</f>
        <v>0</v>
      </c>
      <c r="F30" s="1102" t="s">
        <v>1297</v>
      </c>
      <c r="G30" s="751">
        <f>'Tribal Measure Tool'!J19</f>
        <v>0</v>
      </c>
      <c r="H30" s="852">
        <f>1092+643+1791+1966+5930</f>
        <v>11422</v>
      </c>
      <c r="I30" s="1045" t="s">
        <v>1225</v>
      </c>
      <c r="J30" s="714">
        <f>H30</f>
        <v>11422</v>
      </c>
      <c r="K30" s="713" t="s">
        <v>1298</v>
      </c>
      <c r="L30" s="792">
        <f>H30*E30+G30*J30</f>
        <v>0</v>
      </c>
      <c r="M30" s="842" t="s">
        <v>1159</v>
      </c>
      <c r="N30" s="885" t="s">
        <v>1316</v>
      </c>
      <c r="O30" s="984" t="s">
        <v>1177</v>
      </c>
      <c r="P30" s="1038" t="s">
        <v>1234</v>
      </c>
      <c r="Q30" s="338">
        <v>4</v>
      </c>
      <c r="R30" s="998"/>
      <c r="S30" s="999"/>
      <c r="T30" s="858"/>
      <c r="U30" s="950" t="s">
        <v>1202</v>
      </c>
      <c r="V30" s="903">
        <v>1903</v>
      </c>
      <c r="W30" s="951">
        <v>1.1399999999999999</v>
      </c>
      <c r="X30" s="280"/>
      <c r="Y30" s="972"/>
      <c r="Z30" s="831"/>
      <c r="AA30" s="716"/>
      <c r="AB30" s="963"/>
      <c r="AC30" s="858"/>
      <c r="AD30" s="858"/>
      <c r="AE30" s="858"/>
      <c r="AF30" s="858"/>
      <c r="AG30" s="858"/>
      <c r="AH30" s="858"/>
      <c r="AI30" s="858"/>
      <c r="AJ30" s="858"/>
      <c r="AK30" s="858"/>
      <c r="AL30" s="858"/>
      <c r="AM30" s="858"/>
      <c r="AN30" s="858"/>
      <c r="AO30" s="858"/>
      <c r="AP30" s="858"/>
      <c r="AQ30" s="858"/>
      <c r="AR30" s="858"/>
      <c r="AS30" s="858"/>
      <c r="AT30" s="858"/>
      <c r="AU30" s="858"/>
      <c r="AV30" s="858"/>
      <c r="AW30" s="858"/>
      <c r="AX30" s="280"/>
      <c r="AY30" s="280"/>
    </row>
    <row r="31" spans="1:51" ht="147" x14ac:dyDescent="1">
      <c r="A31" s="1418"/>
      <c r="B31" s="1556"/>
      <c r="C31" s="837" t="s">
        <v>393</v>
      </c>
      <c r="D31" s="466" t="s">
        <v>1201</v>
      </c>
      <c r="E31" s="685">
        <f>'Tribal Measure Tool'!H21</f>
        <v>0</v>
      </c>
      <c r="F31" s="466" t="s">
        <v>1297</v>
      </c>
      <c r="G31" s="395">
        <f>'Tribal Measure Tool'!J21</f>
        <v>0</v>
      </c>
      <c r="H31" s="1096">
        <v>143.38999999999999</v>
      </c>
      <c r="I31" s="1045" t="s">
        <v>1225</v>
      </c>
      <c r="J31" s="714">
        <f>H31</f>
        <v>143.38999999999999</v>
      </c>
      <c r="K31" s="713" t="s">
        <v>1298</v>
      </c>
      <c r="L31" s="792">
        <f>H31*E31+G31*J31</f>
        <v>0</v>
      </c>
      <c r="M31" s="847" t="s">
        <v>1159</v>
      </c>
      <c r="N31" s="885" t="s">
        <v>1317</v>
      </c>
      <c r="O31" s="991" t="s">
        <v>1178</v>
      </c>
      <c r="P31" s="1576"/>
      <c r="Q31" s="1531"/>
      <c r="R31" s="1015"/>
      <c r="S31" s="1011"/>
      <c r="T31" s="858"/>
      <c r="U31" s="952" t="s">
        <v>1203</v>
      </c>
      <c r="V31" s="903">
        <v>773</v>
      </c>
      <c r="W31" s="951">
        <v>0.43</v>
      </c>
      <c r="X31" s="280"/>
      <c r="Y31" s="973" t="s">
        <v>1135</v>
      </c>
      <c r="Z31" s="800" t="s">
        <v>1136</v>
      </c>
      <c r="AA31" s="840">
        <f>40*3</f>
        <v>120</v>
      </c>
      <c r="AB31" s="974" t="s">
        <v>1117</v>
      </c>
      <c r="AC31" s="858"/>
      <c r="AD31" s="858"/>
      <c r="AE31" s="858"/>
      <c r="AF31" s="858"/>
      <c r="AG31" s="858"/>
      <c r="AH31" s="858"/>
      <c r="AI31" s="858"/>
      <c r="AJ31" s="858"/>
      <c r="AK31" s="858"/>
      <c r="AL31" s="858"/>
      <c r="AM31" s="858"/>
      <c r="AN31" s="858"/>
      <c r="AO31" s="858"/>
      <c r="AP31" s="858"/>
      <c r="AQ31" s="858"/>
      <c r="AR31" s="858"/>
      <c r="AS31" s="858"/>
      <c r="AT31" s="858"/>
      <c r="AU31" s="858"/>
      <c r="AV31" s="858"/>
      <c r="AW31" s="858"/>
      <c r="AX31" s="280"/>
      <c r="AY31" s="280"/>
    </row>
    <row r="32" spans="1:51" ht="147" x14ac:dyDescent="1">
      <c r="A32" s="1418"/>
      <c r="B32" s="1556"/>
      <c r="C32" s="837" t="s">
        <v>1235</v>
      </c>
      <c r="D32" s="466" t="s">
        <v>1201</v>
      </c>
      <c r="E32" s="685">
        <f>'Tribal Measure Tool'!H22</f>
        <v>0</v>
      </c>
      <c r="F32" s="466" t="s">
        <v>1297</v>
      </c>
      <c r="G32" s="395">
        <f>'Tribal Measure Tool'!J22</f>
        <v>0</v>
      </c>
      <c r="H32" s="1091">
        <f>260+175</f>
        <v>435</v>
      </c>
      <c r="I32" s="1045" t="s">
        <v>1225</v>
      </c>
      <c r="J32" s="714">
        <f>H32</f>
        <v>435</v>
      </c>
      <c r="K32" s="713" t="s">
        <v>1298</v>
      </c>
      <c r="L32" s="715">
        <f>H32*E32+G32*J32</f>
        <v>0</v>
      </c>
      <c r="M32" s="847" t="s">
        <v>1282</v>
      </c>
      <c r="N32" s="885" t="s">
        <v>1310</v>
      </c>
      <c r="O32" s="991" t="s">
        <v>1238</v>
      </c>
      <c r="P32" s="1014"/>
      <c r="Q32" s="710"/>
      <c r="R32" s="1015"/>
      <c r="S32" s="1011"/>
      <c r="T32" s="858"/>
      <c r="U32" s="952"/>
      <c r="V32" s="903"/>
      <c r="W32" s="951"/>
      <c r="X32" s="280"/>
      <c r="Y32" s="973"/>
      <c r="Z32" s="800"/>
      <c r="AA32" s="1042"/>
      <c r="AB32" s="974"/>
      <c r="AC32" s="858"/>
      <c r="AD32" s="858"/>
      <c r="AE32" s="858"/>
      <c r="AF32" s="858"/>
      <c r="AG32" s="858"/>
      <c r="AH32" s="858"/>
      <c r="AI32" s="858"/>
      <c r="AJ32" s="858"/>
      <c r="AK32" s="858"/>
      <c r="AL32" s="858"/>
      <c r="AM32" s="858"/>
      <c r="AN32" s="858"/>
      <c r="AO32" s="858"/>
      <c r="AP32" s="858"/>
      <c r="AQ32" s="858"/>
      <c r="AR32" s="858"/>
      <c r="AS32" s="858"/>
      <c r="AT32" s="858"/>
      <c r="AU32" s="858"/>
      <c r="AV32" s="858"/>
      <c r="AW32" s="858"/>
      <c r="AX32" s="280"/>
      <c r="AY32" s="280"/>
    </row>
    <row r="33" spans="1:53" ht="39" customHeight="1" x14ac:dyDescent="1">
      <c r="A33" s="1418"/>
      <c r="B33" s="1557"/>
      <c r="C33" s="837" t="s">
        <v>379</v>
      </c>
      <c r="D33" s="466" t="s">
        <v>1201</v>
      </c>
      <c r="E33" s="813">
        <f>'Tribal Measure Tool'!H23</f>
        <v>0</v>
      </c>
      <c r="F33" s="466" t="s">
        <v>1297</v>
      </c>
      <c r="G33" s="395">
        <f>'Tribal Measure Tool'!J23</f>
        <v>0</v>
      </c>
      <c r="H33" s="1092">
        <f>2*Q33+11*S33</f>
        <v>30</v>
      </c>
      <c r="I33" s="1045" t="s">
        <v>1225</v>
      </c>
      <c r="J33" s="714">
        <f>H33</f>
        <v>30</v>
      </c>
      <c r="K33" s="713" t="s">
        <v>1298</v>
      </c>
      <c r="L33" s="792">
        <f>H33*E33+G33*J33</f>
        <v>0</v>
      </c>
      <c r="M33" s="842" t="s">
        <v>1151</v>
      </c>
      <c r="N33" s="885" t="s">
        <v>1311</v>
      </c>
      <c r="O33" s="985" t="s">
        <v>1288</v>
      </c>
      <c r="P33" s="1000" t="s">
        <v>1285</v>
      </c>
      <c r="Q33" s="764">
        <v>4</v>
      </c>
      <c r="R33" s="1221" t="s">
        <v>1287</v>
      </c>
      <c r="S33" s="999">
        <v>2</v>
      </c>
      <c r="T33" s="858"/>
      <c r="U33" s="950" t="s">
        <v>1204</v>
      </c>
      <c r="V33" s="903">
        <v>2106</v>
      </c>
      <c r="W33" s="951">
        <v>1.29</v>
      </c>
      <c r="X33" s="280"/>
      <c r="Y33" s="975" t="s">
        <v>1135</v>
      </c>
      <c r="Z33" s="800" t="s">
        <v>1137</v>
      </c>
      <c r="AA33" s="790">
        <f>30+75</f>
        <v>105</v>
      </c>
      <c r="AB33" s="974" t="s">
        <v>1117</v>
      </c>
      <c r="AC33" s="858"/>
      <c r="AD33" s="858"/>
      <c r="AE33" s="858"/>
      <c r="AF33" s="858"/>
      <c r="AG33" s="858"/>
      <c r="AH33" s="858"/>
      <c r="AI33" s="858"/>
      <c r="AJ33" s="858"/>
      <c r="AK33" s="858"/>
      <c r="AL33" s="858"/>
      <c r="AM33" s="858"/>
      <c r="AN33" s="858"/>
      <c r="AO33" s="858"/>
      <c r="AP33" s="858"/>
      <c r="AQ33" s="858"/>
      <c r="AR33" s="858"/>
      <c r="AS33" s="858"/>
      <c r="AT33" s="858"/>
      <c r="AU33" s="858"/>
      <c r="AV33" s="858"/>
      <c r="AW33" s="858"/>
      <c r="AX33" s="280"/>
      <c r="AY33" s="280"/>
    </row>
    <row r="34" spans="1:53" ht="39" customHeight="1" x14ac:dyDescent="1">
      <c r="A34" s="1418"/>
      <c r="B34" s="1555" t="s">
        <v>588</v>
      </c>
      <c r="C34" s="837" t="s">
        <v>611</v>
      </c>
      <c r="D34" s="466" t="s">
        <v>618</v>
      </c>
      <c r="E34" s="813">
        <f>'Tribal Measure Tool'!H24</f>
        <v>0</v>
      </c>
      <c r="F34" s="466"/>
      <c r="G34" s="395"/>
      <c r="H34" s="1093">
        <f>R34*W34</f>
        <v>14300</v>
      </c>
      <c r="I34" s="713" t="s">
        <v>1117</v>
      </c>
      <c r="J34" s="714"/>
      <c r="K34" s="713"/>
      <c r="L34" s="715">
        <f>H34*E34</f>
        <v>0</v>
      </c>
      <c r="M34" s="842" t="s">
        <v>1159</v>
      </c>
      <c r="N34" s="885" t="s">
        <v>1267</v>
      </c>
      <c r="O34" s="985" t="s">
        <v>1215</v>
      </c>
      <c r="P34" s="1576" t="s">
        <v>1149</v>
      </c>
      <c r="Q34" s="1531"/>
      <c r="R34" s="844">
        <f>R35</f>
        <v>5000</v>
      </c>
      <c r="S34" s="1016" t="s">
        <v>1164</v>
      </c>
      <c r="T34" s="858"/>
      <c r="U34" s="953" t="s">
        <v>1208</v>
      </c>
      <c r="V34" s="903">
        <f>SUM(V30:V33)</f>
        <v>4782</v>
      </c>
      <c r="W34" s="951">
        <f>SUM(W30:W33)</f>
        <v>2.86</v>
      </c>
      <c r="X34" s="280"/>
      <c r="Y34" s="975"/>
      <c r="Z34" s="800"/>
      <c r="AA34" s="823"/>
      <c r="AB34" s="974" t="s">
        <v>1117</v>
      </c>
      <c r="AC34" s="858"/>
      <c r="AD34" s="858"/>
      <c r="AE34" s="858"/>
      <c r="AF34" s="858"/>
      <c r="AG34" s="858"/>
      <c r="AH34" s="858"/>
      <c r="AI34" s="858"/>
      <c r="AJ34" s="858"/>
      <c r="AK34" s="858"/>
      <c r="AL34" s="858"/>
      <c r="AM34" s="858"/>
      <c r="AN34" s="858"/>
      <c r="AO34" s="858"/>
      <c r="AP34" s="858"/>
      <c r="AQ34" s="858"/>
      <c r="AR34" s="858"/>
      <c r="AS34" s="858"/>
      <c r="AT34" s="858"/>
      <c r="AU34" s="858"/>
      <c r="AV34" s="858"/>
      <c r="AW34" s="858"/>
      <c r="AX34" s="280"/>
      <c r="AY34" s="280"/>
    </row>
    <row r="35" spans="1:53" ht="39" customHeight="1" thickBot="1" x14ac:dyDescent="1.1499999999999999">
      <c r="A35" s="1418"/>
      <c r="B35" s="1557"/>
      <c r="C35" s="837" t="s">
        <v>394</v>
      </c>
      <c r="D35" s="466" t="s">
        <v>618</v>
      </c>
      <c r="E35" s="813">
        <f>'Tribal Measure Tool'!H26</f>
        <v>0</v>
      </c>
      <c r="F35" s="466"/>
      <c r="G35" s="395"/>
      <c r="H35" s="1094">
        <f>1.05*R35</f>
        <v>5250</v>
      </c>
      <c r="I35" s="713" t="s">
        <v>1117</v>
      </c>
      <c r="J35" s="714"/>
      <c r="K35" s="752"/>
      <c r="L35" s="715">
        <f>H35*E35</f>
        <v>0</v>
      </c>
      <c r="M35" s="824" t="s">
        <v>1150</v>
      </c>
      <c r="N35" s="885" t="s">
        <v>1268</v>
      </c>
      <c r="O35" s="985" t="s">
        <v>1165</v>
      </c>
      <c r="P35" s="1576" t="s">
        <v>1149</v>
      </c>
      <c r="Q35" s="1531"/>
      <c r="R35" s="1015">
        <v>5000</v>
      </c>
      <c r="S35" s="1017" t="s">
        <v>1164</v>
      </c>
      <c r="T35" s="858"/>
      <c r="U35" s="954"/>
      <c r="V35" s="955" t="s">
        <v>1211</v>
      </c>
      <c r="W35" s="956">
        <f>V34/W34</f>
        <v>1672.0279720279721</v>
      </c>
      <c r="X35" s="280"/>
      <c r="Y35" s="976" t="s">
        <v>1138</v>
      </c>
      <c r="Z35" s="977" t="s">
        <v>1139</v>
      </c>
      <c r="AA35" s="788">
        <f>100*200</f>
        <v>20000</v>
      </c>
      <c r="AB35" s="978" t="s">
        <v>1117</v>
      </c>
      <c r="AC35" s="858"/>
      <c r="AD35" s="858"/>
      <c r="AE35" s="858"/>
      <c r="AF35" s="858"/>
      <c r="AG35" s="858"/>
      <c r="AH35" s="858"/>
      <c r="AI35" s="858"/>
      <c r="AJ35" s="858"/>
      <c r="AK35" s="858"/>
      <c r="AL35" s="858"/>
      <c r="AM35" s="858"/>
      <c r="AN35" s="858"/>
      <c r="AO35" s="858"/>
      <c r="AP35" s="858"/>
      <c r="AQ35" s="858"/>
      <c r="AR35" s="858"/>
      <c r="AS35" s="858"/>
      <c r="AT35" s="858"/>
      <c r="AU35" s="858"/>
      <c r="AV35" s="858"/>
      <c r="AW35" s="858"/>
      <c r="AX35" s="280"/>
      <c r="AY35" s="280"/>
    </row>
    <row r="36" spans="1:53" ht="39" customHeight="1" x14ac:dyDescent="1">
      <c r="A36" s="1418"/>
      <c r="B36" s="1555" t="s">
        <v>607</v>
      </c>
      <c r="C36" s="837" t="s">
        <v>1236</v>
      </c>
      <c r="D36" s="466" t="s">
        <v>618</v>
      </c>
      <c r="E36" s="813">
        <f>'Tribal Measure Tool'!H27</f>
        <v>0</v>
      </c>
      <c r="F36" s="716"/>
      <c r="G36" s="395"/>
      <c r="H36" s="1095">
        <f>1000</f>
        <v>1000</v>
      </c>
      <c r="I36" s="713" t="s">
        <v>1117</v>
      </c>
      <c r="J36" s="280"/>
      <c r="L36" s="1238">
        <f>H36*E36</f>
        <v>0</v>
      </c>
      <c r="M36" s="848" t="s">
        <v>1283</v>
      </c>
      <c r="N36" s="885" t="s">
        <v>1269</v>
      </c>
      <c r="O36" s="985" t="s">
        <v>1237</v>
      </c>
      <c r="P36" s="1576"/>
      <c r="Q36" s="1531"/>
      <c r="R36" s="1022"/>
      <c r="S36" s="1021"/>
      <c r="T36" s="863"/>
      <c r="U36" s="858"/>
      <c r="V36" s="280"/>
      <c r="W36" s="280"/>
      <c r="X36" s="858"/>
      <c r="Y36" s="858"/>
      <c r="Z36" s="858"/>
      <c r="AA36" s="858"/>
      <c r="AB36" s="858"/>
      <c r="AC36" s="858"/>
      <c r="AD36" s="858"/>
      <c r="AE36" s="858"/>
      <c r="AF36" s="858"/>
      <c r="AG36" s="858"/>
      <c r="AH36" s="858"/>
      <c r="AI36" s="858"/>
      <c r="AJ36" s="858"/>
      <c r="AK36" s="858"/>
      <c r="AL36" s="858"/>
      <c r="AM36" s="858"/>
      <c r="AN36" s="858"/>
      <c r="AO36" s="858"/>
      <c r="AP36" s="858"/>
      <c r="AQ36" s="858"/>
      <c r="AR36" s="858"/>
      <c r="AS36" s="858"/>
      <c r="AT36" s="858"/>
      <c r="AU36" s="858"/>
      <c r="AV36" s="858"/>
      <c r="AW36" s="858"/>
      <c r="AX36" s="280"/>
      <c r="AY36" s="280"/>
    </row>
    <row r="37" spans="1:53" ht="39" customHeight="1" x14ac:dyDescent="0.75">
      <c r="A37" s="1418"/>
      <c r="B37" s="1556"/>
      <c r="C37" s="1105" t="s">
        <v>1194</v>
      </c>
      <c r="D37" s="466" t="s">
        <v>618</v>
      </c>
      <c r="E37" s="813">
        <f>'Tribal Measure Tool'!H25</f>
        <v>0</v>
      </c>
      <c r="F37" s="466"/>
      <c r="G37" s="395"/>
      <c r="H37" s="1092">
        <f>(241200/28000)*R35</f>
        <v>43071.428571428572</v>
      </c>
      <c r="I37" s="713" t="s">
        <v>1117</v>
      </c>
      <c r="J37" s="843"/>
      <c r="K37" s="718"/>
      <c r="L37" s="715">
        <f>H37*E37</f>
        <v>0</v>
      </c>
      <c r="M37" s="848" t="s">
        <v>1156</v>
      </c>
      <c r="N37" s="885" t="s">
        <v>1270</v>
      </c>
      <c r="O37" s="985" t="s">
        <v>1229</v>
      </c>
      <c r="P37" s="865">
        <f>(241200)/28000</f>
        <v>8.6142857142857139</v>
      </c>
      <c r="Q37" s="771">
        <f>20400/3000</f>
        <v>6.8</v>
      </c>
      <c r="R37" s="858">
        <f>8.6*5000</f>
        <v>43000</v>
      </c>
      <c r="S37" s="999"/>
      <c r="T37" s="863"/>
      <c r="U37" s="858"/>
      <c r="V37" s="280"/>
      <c r="W37" s="280" t="s">
        <v>1286</v>
      </c>
      <c r="X37" s="858"/>
      <c r="Y37" s="858"/>
      <c r="Z37" s="858"/>
      <c r="AA37" s="858"/>
      <c r="AB37" s="858"/>
      <c r="AC37" s="858"/>
      <c r="AD37" s="858"/>
      <c r="AE37" s="858"/>
      <c r="AF37" s="858"/>
      <c r="AG37" s="858"/>
      <c r="AH37" s="858"/>
      <c r="AI37" s="858"/>
      <c r="AJ37" s="858"/>
      <c r="AK37" s="858"/>
      <c r="AL37" s="858"/>
      <c r="AM37" s="858"/>
      <c r="AN37" s="858"/>
      <c r="AO37" s="858"/>
      <c r="AP37" s="858"/>
      <c r="AQ37" s="858"/>
      <c r="AR37" s="858"/>
      <c r="AS37" s="858"/>
      <c r="AT37" s="858"/>
      <c r="AU37" s="858"/>
      <c r="AV37" s="858"/>
      <c r="AW37" s="858"/>
      <c r="AX37" s="280"/>
      <c r="AY37" s="280"/>
    </row>
    <row r="38" spans="1:53" ht="39" customHeight="1" thickBot="1" x14ac:dyDescent="1.7">
      <c r="A38" s="1418"/>
      <c r="B38" s="1557"/>
      <c r="C38" s="1106" t="s">
        <v>1195</v>
      </c>
      <c r="D38" s="389" t="s">
        <v>1201</v>
      </c>
      <c r="E38" s="781">
        <f>'Tribal Measure Tool'!H20</f>
        <v>0</v>
      </c>
      <c r="F38" s="727" t="s">
        <v>1297</v>
      </c>
      <c r="G38" s="773">
        <f>'Tribal Measure Tool'!J20</f>
        <v>0</v>
      </c>
      <c r="H38" s="1091">
        <v>20400</v>
      </c>
      <c r="I38" s="713" t="s">
        <v>1225</v>
      </c>
      <c r="J38" s="815">
        <f>H38</f>
        <v>20400</v>
      </c>
      <c r="K38" s="713" t="s">
        <v>1298</v>
      </c>
      <c r="L38" s="715">
        <f>H38*E38+G38*J38</f>
        <v>0</v>
      </c>
      <c r="M38" s="848" t="s">
        <v>1156</v>
      </c>
      <c r="N38" s="885" t="s">
        <v>1320</v>
      </c>
      <c r="O38" s="985" t="s">
        <v>1281</v>
      </c>
      <c r="P38" s="1546"/>
      <c r="Q38" s="1539"/>
      <c r="R38" s="858"/>
      <c r="S38" s="999"/>
      <c r="T38" s="858"/>
      <c r="U38" s="1226" t="s">
        <v>1284</v>
      </c>
      <c r="V38" s="1227">
        <v>11</v>
      </c>
      <c r="W38" s="1228">
        <v>2</v>
      </c>
      <c r="X38" s="858"/>
      <c r="Y38" s="858"/>
      <c r="Z38" s="858"/>
      <c r="AA38" s="858"/>
      <c r="AB38" s="858"/>
      <c r="AC38" s="858"/>
      <c r="AD38" s="858"/>
      <c r="AE38" s="858"/>
      <c r="AF38" s="858"/>
      <c r="AG38" s="858"/>
      <c r="AH38" s="858"/>
      <c r="AI38" s="858"/>
      <c r="AJ38" s="858"/>
      <c r="AK38" s="858"/>
      <c r="AL38" s="858"/>
      <c r="AM38" s="858"/>
      <c r="AN38" s="858"/>
      <c r="AO38" s="858"/>
      <c r="AP38" s="858"/>
      <c r="AQ38" s="858"/>
      <c r="AR38" s="858"/>
      <c r="AS38" s="858"/>
      <c r="AT38" s="858"/>
      <c r="AU38" s="858"/>
      <c r="AV38" s="858"/>
      <c r="AW38" s="858"/>
      <c r="AX38" s="280"/>
      <c r="AY38" s="280"/>
    </row>
    <row r="39" spans="1:53" s="480" customFormat="1" ht="105.75" thickBot="1" x14ac:dyDescent="1.7">
      <c r="A39" s="1419"/>
      <c r="B39" s="1098" t="s">
        <v>405</v>
      </c>
      <c r="C39" s="1107" t="s">
        <v>415</v>
      </c>
      <c r="D39" s="816" t="s">
        <v>1019</v>
      </c>
      <c r="E39" s="1108">
        <f>'Tribal Measure Tool'!H28</f>
        <v>0</v>
      </c>
      <c r="F39" s="816" t="s">
        <v>1020</v>
      </c>
      <c r="G39" s="692">
        <f>'Tribal Measure Tool'!J28</f>
        <v>0</v>
      </c>
      <c r="H39" s="1100"/>
      <c r="I39" s="722" t="s">
        <v>1117</v>
      </c>
      <c r="J39" s="930"/>
      <c r="K39" s="367" t="s">
        <v>1117</v>
      </c>
      <c r="L39" s="724"/>
      <c r="M39" s="849"/>
      <c r="N39" s="885" t="s">
        <v>1271</v>
      </c>
      <c r="O39" s="992"/>
      <c r="P39" s="1546"/>
      <c r="Q39" s="1539"/>
      <c r="R39" s="858"/>
      <c r="S39" s="999"/>
      <c r="T39" s="280"/>
      <c r="U39" s="1226" t="s">
        <v>1285</v>
      </c>
      <c r="V39" s="1227">
        <v>2</v>
      </c>
      <c r="W39" s="1228">
        <v>4</v>
      </c>
      <c r="X39" s="858"/>
      <c r="Y39" s="858"/>
      <c r="Z39" s="858"/>
      <c r="AA39" s="858"/>
      <c r="AB39" s="858"/>
      <c r="AC39" s="858"/>
      <c r="AD39" s="858"/>
      <c r="AE39" s="858"/>
      <c r="AF39" s="858"/>
      <c r="AG39" s="858"/>
      <c r="AH39" s="858"/>
      <c r="AI39" s="858"/>
      <c r="AJ39" s="858"/>
      <c r="AK39" s="858"/>
      <c r="AL39" s="858"/>
      <c r="AM39" s="858"/>
      <c r="AN39" s="858"/>
      <c r="AO39" s="858"/>
      <c r="AP39" s="858"/>
      <c r="AQ39" s="858"/>
      <c r="AR39" s="858"/>
      <c r="AS39" s="858"/>
      <c r="AT39" s="858"/>
      <c r="AU39" s="858"/>
      <c r="AV39" s="858"/>
      <c r="AW39" s="858"/>
      <c r="AX39" s="858"/>
      <c r="AY39" s="858"/>
      <c r="AZ39" s="858"/>
      <c r="BA39" s="858"/>
    </row>
    <row r="40" spans="1:53" ht="105.65" customHeight="1" x14ac:dyDescent="1.35">
      <c r="A40" s="1559" t="s">
        <v>6</v>
      </c>
      <c r="B40" s="1554" t="s">
        <v>358</v>
      </c>
      <c r="C40" s="782" t="s">
        <v>612</v>
      </c>
      <c r="D40" s="783" t="s">
        <v>622</v>
      </c>
      <c r="E40" s="855">
        <f>'Tribal Measure Tool'!H30</f>
        <v>0</v>
      </c>
      <c r="F40" s="784" t="s">
        <v>1140</v>
      </c>
      <c r="G40" s="806">
        <f>'Tribal Measure Tool'!J30</f>
        <v>0</v>
      </c>
      <c r="H40" s="780">
        <v>70000</v>
      </c>
      <c r="I40" s="779" t="s">
        <v>1121</v>
      </c>
      <c r="J40" s="778">
        <f>IF('Tribal Measure Tool'!I30="Electric Buses",175000,IF('Tribal Measure Tool'!I30="Hydrogen Fuel Cell Buses",1200000,))</f>
        <v>1200000</v>
      </c>
      <c r="K40" s="779" t="s">
        <v>1127</v>
      </c>
      <c r="L40" s="777">
        <f>G40*J40+(S40*G40*H40)</f>
        <v>0</v>
      </c>
      <c r="M40" s="795" t="s">
        <v>1125</v>
      </c>
      <c r="N40" s="885" t="s">
        <v>1272</v>
      </c>
      <c r="O40" s="814" t="s">
        <v>1142</v>
      </c>
      <c r="P40" s="1546" t="s">
        <v>1126</v>
      </c>
      <c r="Q40" s="1539"/>
      <c r="R40" s="794" t="s">
        <v>1163</v>
      </c>
      <c r="S40" s="1018">
        <f>0.14</f>
        <v>0.14000000000000001</v>
      </c>
      <c r="T40" s="699"/>
      <c r="U40" s="280"/>
      <c r="V40" s="1229">
        <f>(V38*W38)+V39*W39</f>
        <v>30</v>
      </c>
      <c r="W40" s="280"/>
      <c r="X40" s="858"/>
      <c r="Y40" s="858"/>
      <c r="Z40" s="858"/>
      <c r="AA40" s="858"/>
      <c r="AB40" s="858"/>
      <c r="AC40" s="858"/>
      <c r="AD40" s="858"/>
      <c r="AE40" s="858"/>
      <c r="AF40" s="858"/>
      <c r="AG40" s="858"/>
      <c r="AH40" s="858"/>
      <c r="AI40" s="858"/>
      <c r="AJ40" s="858"/>
      <c r="AK40" s="858"/>
      <c r="AL40" s="858"/>
      <c r="AM40" s="858"/>
      <c r="AN40" s="858"/>
      <c r="AO40" s="858"/>
      <c r="AP40" s="858"/>
      <c r="AQ40" s="858"/>
      <c r="AR40" s="858"/>
      <c r="AS40" s="858"/>
      <c r="AT40" s="858"/>
      <c r="AU40" s="858"/>
      <c r="AV40" s="858"/>
      <c r="AW40" s="858"/>
      <c r="AX40" s="280"/>
      <c r="AY40" s="280"/>
    </row>
    <row r="41" spans="1:53" ht="141.65" customHeight="1" x14ac:dyDescent="1">
      <c r="A41" s="1560"/>
      <c r="B41" s="1438"/>
      <c r="C41" s="371" t="s">
        <v>613</v>
      </c>
      <c r="D41" s="390" t="s">
        <v>784</v>
      </c>
      <c r="E41" s="854">
        <f>'Tribal Measure Tool'!H29</f>
        <v>0</v>
      </c>
      <c r="F41" s="466" t="s">
        <v>1122</v>
      </c>
      <c r="G41" s="364">
        <f>J41/S41</f>
        <v>0</v>
      </c>
      <c r="H41" s="701">
        <v>2400</v>
      </c>
      <c r="I41" s="713" t="s">
        <v>1121</v>
      </c>
      <c r="J41" s="853">
        <f>E41*VLOOKUP('Tribal Measure Tool'!H6,'Tool Reference'!$A$10:$Z$11,25,FALSE)</f>
        <v>0</v>
      </c>
      <c r="K41" s="713" t="s">
        <v>1161</v>
      </c>
      <c r="L41" s="715">
        <f>G41*H41</f>
        <v>0</v>
      </c>
      <c r="M41" s="901" t="s">
        <v>1123</v>
      </c>
      <c r="N41" s="885" t="s">
        <v>1273</v>
      </c>
      <c r="O41" s="986" t="s">
        <v>1160</v>
      </c>
      <c r="P41" s="1546" t="s">
        <v>1124</v>
      </c>
      <c r="Q41" s="1539"/>
      <c r="R41" s="856" t="s">
        <v>1162</v>
      </c>
      <c r="S41" s="999">
        <v>10</v>
      </c>
      <c r="T41" s="280"/>
      <c r="U41" s="280"/>
      <c r="V41" s="1225">
        <f>SUM(V38:V39)*SUM(W38:W39)</f>
        <v>78</v>
      </c>
      <c r="W41" s="280"/>
      <c r="X41" s="858"/>
      <c r="Y41" s="858"/>
      <c r="Z41" s="858"/>
      <c r="AA41" s="858"/>
      <c r="AB41" s="858"/>
      <c r="AC41" s="858"/>
      <c r="AD41" s="858"/>
      <c r="AE41" s="858"/>
      <c r="AF41" s="858"/>
      <c r="AG41" s="858"/>
      <c r="AH41" s="858"/>
      <c r="AI41" s="858"/>
      <c r="AJ41" s="858"/>
      <c r="AK41" s="858"/>
      <c r="AL41" s="858"/>
      <c r="AM41" s="858"/>
      <c r="AN41" s="858"/>
      <c r="AO41" s="858"/>
      <c r="AP41" s="858"/>
      <c r="AQ41" s="858"/>
      <c r="AR41" s="858"/>
      <c r="AS41" s="858"/>
      <c r="AT41" s="858"/>
      <c r="AU41" s="858"/>
      <c r="AV41" s="858"/>
      <c r="AW41" s="858"/>
      <c r="AX41" s="280"/>
      <c r="AY41" s="280"/>
    </row>
    <row r="42" spans="1:53" ht="73.900000000000006" customHeight="1" x14ac:dyDescent="0.75">
      <c r="A42" s="1560"/>
      <c r="B42" s="817" t="s">
        <v>865</v>
      </c>
      <c r="C42" s="371" t="s">
        <v>1141</v>
      </c>
      <c r="D42" s="390" t="s">
        <v>864</v>
      </c>
      <c r="E42" s="854">
        <f>'Tribal Measure Tool'!H31</f>
        <v>0</v>
      </c>
      <c r="F42" s="466" t="s">
        <v>1140</v>
      </c>
      <c r="G42" s="364">
        <f>'Tribal Measure Tool'!J31</f>
        <v>0</v>
      </c>
      <c r="H42" s="701">
        <f>IF('Tribal Measure Tool'!I31="Propane Buses",105000,IF('Tribal Measure Tool'!I31="CNG/LNG Buses",125000,IF('Tribal Measure Tool'!I31="Biodiesel Buses",91250)))</f>
        <v>105000</v>
      </c>
      <c r="I42" s="713" t="s">
        <v>1127</v>
      </c>
      <c r="J42" s="714"/>
      <c r="L42" s="715">
        <f>G42*H42</f>
        <v>0</v>
      </c>
      <c r="M42" s="848" t="s">
        <v>1142</v>
      </c>
      <c r="N42" s="885" t="s">
        <v>1274</v>
      </c>
      <c r="O42" s="1215" t="s">
        <v>1158</v>
      </c>
      <c r="P42" s="1546"/>
      <c r="Q42" s="1539"/>
      <c r="R42" s="858"/>
      <c r="S42" s="999"/>
      <c r="T42" s="280"/>
      <c r="U42" s="280"/>
      <c r="V42" s="280"/>
      <c r="W42" s="280"/>
      <c r="X42" s="858"/>
      <c r="Y42" s="858"/>
      <c r="Z42" s="858"/>
      <c r="AA42" s="858"/>
      <c r="AB42" s="858"/>
      <c r="AC42" s="858"/>
      <c r="AD42" s="858"/>
      <c r="AE42" s="858"/>
      <c r="AF42" s="858"/>
      <c r="AG42" s="858"/>
      <c r="AH42" s="858"/>
      <c r="AI42" s="858"/>
      <c r="AJ42" s="858"/>
      <c r="AK42" s="858"/>
      <c r="AL42" s="858"/>
      <c r="AM42" s="858"/>
      <c r="AN42" s="858"/>
      <c r="AO42" s="858"/>
      <c r="AP42" s="858"/>
      <c r="AQ42" s="858"/>
      <c r="AR42" s="858"/>
      <c r="AS42" s="858"/>
      <c r="AT42" s="858"/>
      <c r="AU42" s="858"/>
      <c r="AV42" s="858"/>
      <c r="AW42" s="858"/>
      <c r="AX42" s="280"/>
      <c r="AY42" s="280"/>
    </row>
    <row r="43" spans="1:53" s="481" customFormat="1" ht="39" customHeight="1" thickBot="1" x14ac:dyDescent="0.9">
      <c r="A43" s="1560"/>
      <c r="B43" s="1563" t="s">
        <v>359</v>
      </c>
      <c r="C43" s="818" t="s">
        <v>361</v>
      </c>
      <c r="D43" s="390" t="s">
        <v>625</v>
      </c>
      <c r="E43" s="685"/>
      <c r="F43" s="466"/>
      <c r="G43" s="364"/>
      <c r="H43" s="701"/>
      <c r="I43" s="713"/>
      <c r="J43" s="714"/>
      <c r="K43" s="713"/>
      <c r="L43" s="715"/>
      <c r="M43" s="850"/>
      <c r="N43" s="885" t="s">
        <v>1271</v>
      </c>
      <c r="O43" s="993"/>
      <c r="P43" s="1546"/>
      <c r="Q43" s="1539"/>
      <c r="R43" s="858"/>
      <c r="S43" s="999"/>
      <c r="T43" s="280"/>
      <c r="U43" s="280"/>
      <c r="V43" s="280"/>
      <c r="W43" s="280"/>
      <c r="X43" s="858"/>
      <c r="Y43" s="858"/>
      <c r="Z43" s="858"/>
      <c r="AA43" s="858"/>
      <c r="AB43" s="858"/>
      <c r="AC43" s="858"/>
      <c r="AD43" s="858"/>
      <c r="AE43" s="858"/>
      <c r="AF43" s="858"/>
      <c r="AG43" s="858"/>
      <c r="AH43" s="858"/>
      <c r="AI43" s="858"/>
      <c r="AJ43" s="858"/>
      <c r="AK43" s="858"/>
      <c r="AL43" s="858"/>
      <c r="AM43" s="858"/>
      <c r="AN43" s="858"/>
      <c r="AO43" s="858"/>
      <c r="AP43" s="858"/>
      <c r="AQ43" s="858"/>
      <c r="AR43" s="858"/>
      <c r="AS43" s="858"/>
      <c r="AT43" s="858"/>
      <c r="AU43" s="858"/>
      <c r="AV43" s="858"/>
      <c r="AW43" s="858"/>
      <c r="AX43" s="858"/>
      <c r="AY43" s="858"/>
      <c r="AZ43" s="858"/>
      <c r="BA43" s="858"/>
    </row>
    <row r="44" spans="1:53" ht="39" customHeight="1" x14ac:dyDescent="0.75">
      <c r="A44" s="1560"/>
      <c r="B44" s="1563"/>
      <c r="C44" s="818" t="s">
        <v>362</v>
      </c>
      <c r="D44" s="390" t="s">
        <v>626</v>
      </c>
      <c r="E44" s="685"/>
      <c r="F44" s="466"/>
      <c r="G44" s="364"/>
      <c r="H44" s="701"/>
      <c r="I44" s="713"/>
      <c r="J44" s="714"/>
      <c r="K44" s="713"/>
      <c r="L44" s="715"/>
      <c r="M44" s="850"/>
      <c r="N44" s="885" t="s">
        <v>1271</v>
      </c>
      <c r="O44" s="993"/>
      <c r="P44" s="1546"/>
      <c r="Q44" s="1539"/>
      <c r="R44" s="998"/>
      <c r="S44" s="999"/>
      <c r="V44"/>
      <c r="W44" s="280"/>
      <c r="X44" s="858"/>
      <c r="Y44" s="858"/>
      <c r="Z44" s="858"/>
      <c r="AA44" s="858"/>
      <c r="AB44" s="858"/>
      <c r="AC44" s="858"/>
      <c r="AD44" s="858"/>
      <c r="AE44" s="858"/>
      <c r="AF44" s="858"/>
      <c r="AG44" s="858"/>
      <c r="AH44" s="858"/>
      <c r="AI44" s="858"/>
      <c r="AJ44" s="858"/>
      <c r="AK44" s="858"/>
      <c r="AL44" s="858"/>
      <c r="AM44" s="858"/>
      <c r="AN44" s="858"/>
      <c r="AO44" s="858"/>
      <c r="AP44" s="858"/>
      <c r="AQ44" s="858"/>
      <c r="AR44" s="858"/>
      <c r="AS44" s="858"/>
      <c r="AT44" s="858"/>
      <c r="AU44" s="858"/>
      <c r="AV44" s="858"/>
      <c r="AW44" s="858"/>
      <c r="AX44" s="280"/>
      <c r="AY44" s="280"/>
    </row>
    <row r="45" spans="1:53" ht="39" customHeight="1" thickBot="1" x14ac:dyDescent="0.9">
      <c r="A45" s="1561"/>
      <c r="B45" s="1564"/>
      <c r="C45" s="819" t="s">
        <v>363</v>
      </c>
      <c r="D45" s="691" t="s">
        <v>627</v>
      </c>
      <c r="E45" s="689"/>
      <c r="F45" s="785"/>
      <c r="G45" s="807"/>
      <c r="H45" s="786"/>
      <c r="I45" s="787"/>
      <c r="J45" s="788"/>
      <c r="K45" s="787"/>
      <c r="L45" s="789"/>
      <c r="M45" s="851" t="s">
        <v>1113</v>
      </c>
      <c r="N45" s="885" t="s">
        <v>1271</v>
      </c>
      <c r="O45" s="992"/>
      <c r="P45" s="1546"/>
      <c r="Q45" s="1539"/>
      <c r="R45" s="998"/>
      <c r="S45" s="999"/>
      <c r="U45" s="280"/>
      <c r="V45" s="280"/>
      <c r="W45" s="280"/>
      <c r="X45" s="858"/>
      <c r="Y45" s="858"/>
      <c r="Z45" s="858"/>
      <c r="AA45" s="858"/>
      <c r="AB45" s="858"/>
      <c r="AC45" s="858"/>
      <c r="AD45" s="858"/>
      <c r="AE45" s="858"/>
      <c r="AF45" s="858"/>
      <c r="AG45" s="858"/>
      <c r="AH45" s="858"/>
      <c r="AI45" s="858"/>
      <c r="AJ45" s="858"/>
      <c r="AK45" s="858"/>
      <c r="AL45" s="858"/>
      <c r="AM45" s="858"/>
      <c r="AN45" s="858"/>
      <c r="AO45" s="858"/>
      <c r="AP45" s="858"/>
      <c r="AQ45" s="858"/>
      <c r="AR45" s="858"/>
      <c r="AS45" s="858"/>
      <c r="AT45" s="858"/>
      <c r="AU45" s="858"/>
      <c r="AV45" s="858"/>
      <c r="AW45" s="858"/>
      <c r="AX45" s="280"/>
      <c r="AY45" s="280"/>
    </row>
    <row r="46" spans="1:53" ht="84" x14ac:dyDescent="0.75">
      <c r="A46" s="1416" t="s">
        <v>18</v>
      </c>
      <c r="B46" s="1413" t="s">
        <v>541</v>
      </c>
      <c r="C46" s="725" t="s">
        <v>676</v>
      </c>
      <c r="D46" s="389" t="s">
        <v>658</v>
      </c>
      <c r="E46" s="776">
        <f>'Tribal Measure Tool'!H35</f>
        <v>0</v>
      </c>
      <c r="F46" s="389"/>
      <c r="G46" s="728"/>
      <c r="H46" s="801">
        <v>300</v>
      </c>
      <c r="I46" s="721" t="s">
        <v>1118</v>
      </c>
      <c r="J46" s="1039"/>
      <c r="K46" s="721"/>
      <c r="L46" s="763">
        <f>H46*E46</f>
        <v>0</v>
      </c>
      <c r="M46" s="802" t="s">
        <v>1131</v>
      </c>
      <c r="N46" s="885" t="s">
        <v>1275</v>
      </c>
      <c r="O46" s="979"/>
      <c r="P46" s="1546"/>
      <c r="Q46" s="1539"/>
      <c r="R46" s="998"/>
      <c r="S46" s="999"/>
      <c r="U46" s="280"/>
      <c r="V46" s="280"/>
      <c r="W46" s="280"/>
      <c r="X46" s="858"/>
      <c r="Y46" s="858"/>
      <c r="Z46" s="858"/>
      <c r="AA46" s="858"/>
      <c r="AB46" s="858"/>
      <c r="AC46" s="858"/>
      <c r="AD46" s="858"/>
      <c r="AE46" s="858"/>
      <c r="AF46" s="858"/>
      <c r="AG46" s="858"/>
      <c r="AH46" s="858"/>
      <c r="AI46" s="858"/>
      <c r="AJ46" s="858"/>
      <c r="AK46" s="858"/>
      <c r="AL46" s="858"/>
      <c r="AM46" s="858"/>
      <c r="AN46" s="858"/>
      <c r="AO46" s="858"/>
      <c r="AP46" s="858"/>
      <c r="AQ46" s="858"/>
      <c r="AR46" s="858"/>
      <c r="AS46" s="858"/>
      <c r="AT46" s="858"/>
      <c r="AU46" s="858"/>
      <c r="AV46" s="858"/>
      <c r="AW46" s="858"/>
      <c r="AX46" s="280"/>
      <c r="AY46" s="280"/>
    </row>
    <row r="47" spans="1:53" ht="39" customHeight="1" x14ac:dyDescent="0.75">
      <c r="A47" s="1418"/>
      <c r="B47" s="1438"/>
      <c r="C47" s="371" t="s">
        <v>726</v>
      </c>
      <c r="D47" s="390" t="s">
        <v>753</v>
      </c>
      <c r="E47" s="759">
        <f>'Tribal Measure Tool'!H36</f>
        <v>0</v>
      </c>
      <c r="F47" s="761" t="s">
        <v>754</v>
      </c>
      <c r="G47" s="364">
        <f>'Tribal Measure Tool'!J36</f>
        <v>0</v>
      </c>
      <c r="H47" s="1040">
        <v>0.5</v>
      </c>
      <c r="I47" s="366" t="s">
        <v>1119</v>
      </c>
      <c r="J47" s="843">
        <v>25</v>
      </c>
      <c r="K47" s="713" t="s">
        <v>1120</v>
      </c>
      <c r="L47" s="754">
        <f>(E47*H47)+(G47*J47)</f>
        <v>0</v>
      </c>
      <c r="M47" s="796" t="s">
        <v>1130</v>
      </c>
      <c r="N47" s="885" t="s">
        <v>1276</v>
      </c>
      <c r="O47" s="980"/>
      <c r="P47" s="804" t="s">
        <v>1132</v>
      </c>
      <c r="Q47" s="764"/>
      <c r="R47" s="998"/>
      <c r="S47" s="999"/>
      <c r="U47" s="280"/>
      <c r="V47" s="280"/>
      <c r="W47" s="280"/>
      <c r="X47" s="858"/>
      <c r="Y47" s="858"/>
      <c r="Z47" s="858"/>
      <c r="AA47" s="858"/>
      <c r="AB47" s="858"/>
      <c r="AC47" s="858"/>
      <c r="AD47" s="858"/>
      <c r="AE47" s="858"/>
      <c r="AF47" s="858"/>
      <c r="AG47" s="858"/>
      <c r="AH47" s="858"/>
      <c r="AI47" s="858"/>
      <c r="AJ47" s="858"/>
      <c r="AK47" s="858"/>
      <c r="AL47" s="858"/>
      <c r="AM47" s="858"/>
      <c r="AN47" s="858"/>
      <c r="AO47" s="858"/>
      <c r="AP47" s="858"/>
      <c r="AQ47" s="858"/>
      <c r="AR47" s="858"/>
      <c r="AS47" s="858"/>
      <c r="AT47" s="858"/>
      <c r="AU47" s="858"/>
      <c r="AV47" s="858"/>
      <c r="AW47" s="858"/>
      <c r="AX47" s="280"/>
      <c r="AY47" s="280"/>
    </row>
    <row r="48" spans="1:53" ht="39" customHeight="1" x14ac:dyDescent="0.75">
      <c r="A48" s="1418"/>
      <c r="B48" s="1438"/>
      <c r="C48" s="371" t="s">
        <v>790</v>
      </c>
      <c r="D48" s="390" t="s">
        <v>783</v>
      </c>
      <c r="E48" s="759">
        <f>'Tribal Measure Tool'!H37</f>
        <v>0</v>
      </c>
      <c r="F48" s="762"/>
      <c r="G48" s="364"/>
      <c r="H48" s="1040">
        <v>0.5</v>
      </c>
      <c r="I48" s="713" t="s">
        <v>1119</v>
      </c>
      <c r="J48" s="843"/>
      <c r="K48" s="713"/>
      <c r="L48" s="715">
        <f>H48*E48</f>
        <v>0</v>
      </c>
      <c r="M48" s="796" t="s">
        <v>1130</v>
      </c>
      <c r="N48" s="885" t="s">
        <v>1277</v>
      </c>
      <c r="O48" s="980"/>
      <c r="P48" s="1546"/>
      <c r="Q48" s="1539"/>
      <c r="R48" s="998"/>
      <c r="S48" s="999"/>
      <c r="U48" s="280"/>
      <c r="V48" s="280"/>
      <c r="W48" s="280"/>
      <c r="X48" s="858"/>
      <c r="Y48" s="858"/>
      <c r="Z48" s="858"/>
      <c r="AA48" s="858"/>
      <c r="AB48" s="858"/>
      <c r="AC48" s="858"/>
      <c r="AD48" s="858"/>
      <c r="AE48" s="858"/>
      <c r="AF48" s="858"/>
      <c r="AG48" s="858"/>
      <c r="AH48" s="858"/>
      <c r="AI48" s="858"/>
      <c r="AJ48" s="858"/>
      <c r="AK48" s="858"/>
      <c r="AL48" s="858"/>
      <c r="AM48" s="858"/>
      <c r="AN48" s="858"/>
      <c r="AO48" s="858"/>
      <c r="AP48" s="858"/>
      <c r="AQ48" s="858"/>
      <c r="AR48" s="858"/>
      <c r="AS48" s="858"/>
      <c r="AT48" s="858"/>
      <c r="AU48" s="858"/>
      <c r="AV48" s="858"/>
      <c r="AW48" s="858"/>
      <c r="AX48" s="280"/>
      <c r="AY48" s="280"/>
    </row>
    <row r="49" spans="1:51" ht="39" customHeight="1" x14ac:dyDescent="0.75">
      <c r="A49" s="1418"/>
      <c r="B49" s="1438"/>
      <c r="C49" s="818" t="s">
        <v>795</v>
      </c>
      <c r="D49" s="390" t="s">
        <v>780</v>
      </c>
      <c r="E49" s="1110">
        <f>'Tribal Measure Tool'!H38</f>
        <v>0</v>
      </c>
      <c r="F49" s="762"/>
      <c r="G49" s="364"/>
      <c r="H49" s="815"/>
      <c r="I49" s="713"/>
      <c r="J49" s="843"/>
      <c r="K49" s="713"/>
      <c r="M49" s="925"/>
      <c r="N49" s="885" t="s">
        <v>1271</v>
      </c>
      <c r="O49" s="993"/>
      <c r="P49" s="1546"/>
      <c r="Q49" s="1539"/>
      <c r="R49" s="998"/>
      <c r="S49" s="999"/>
      <c r="U49" s="280"/>
      <c r="V49" s="280"/>
      <c r="W49" s="280"/>
      <c r="X49" s="858"/>
      <c r="Y49" s="858"/>
      <c r="Z49" s="858"/>
      <c r="AA49" s="858"/>
      <c r="AB49" s="858"/>
      <c r="AC49" s="858"/>
      <c r="AD49" s="858"/>
      <c r="AE49" s="858"/>
      <c r="AF49" s="858"/>
      <c r="AG49" s="858"/>
      <c r="AH49" s="858"/>
      <c r="AI49" s="858"/>
      <c r="AJ49" s="858"/>
      <c r="AK49" s="858"/>
      <c r="AL49" s="858"/>
      <c r="AM49" s="858"/>
      <c r="AN49" s="858"/>
      <c r="AO49" s="858"/>
      <c r="AP49" s="858"/>
      <c r="AQ49" s="858"/>
      <c r="AR49" s="858"/>
      <c r="AS49" s="858"/>
      <c r="AT49" s="858"/>
      <c r="AU49" s="858"/>
      <c r="AV49" s="858"/>
      <c r="AW49" s="858"/>
      <c r="AX49" s="280"/>
      <c r="AY49" s="280"/>
    </row>
    <row r="50" spans="1:51" ht="39" customHeight="1" thickBot="1" x14ac:dyDescent="0.9">
      <c r="A50" s="1419"/>
      <c r="B50" s="354" t="s">
        <v>417</v>
      </c>
      <c r="C50" s="695" t="s">
        <v>418</v>
      </c>
      <c r="D50" s="691" t="s">
        <v>665</v>
      </c>
      <c r="E50" s="760">
        <f>'Tribal Measure Tool'!H41</f>
        <v>0</v>
      </c>
      <c r="F50" s="691" t="s">
        <v>1143</v>
      </c>
      <c r="G50" s="593">
        <f>'Tribal Measure Tool'!J41</f>
        <v>0</v>
      </c>
      <c r="H50" s="932">
        <f>300+43</f>
        <v>343</v>
      </c>
      <c r="I50" s="722" t="s">
        <v>1133</v>
      </c>
      <c r="J50" s="723"/>
      <c r="K50" s="722"/>
      <c r="L50" s="724">
        <f>H50*E50*G50</f>
        <v>0</v>
      </c>
      <c r="M50" s="931" t="s">
        <v>1220</v>
      </c>
      <c r="N50" s="885" t="s">
        <v>1278</v>
      </c>
      <c r="O50" s="987" t="s">
        <v>1221</v>
      </c>
      <c r="P50" s="1547"/>
      <c r="Q50" s="1562"/>
      <c r="R50" s="1019"/>
      <c r="S50" s="1020"/>
      <c r="T50" s="280"/>
      <c r="U50" s="280"/>
      <c r="V50" s="280"/>
      <c r="W50" s="280"/>
      <c r="X50" s="858"/>
      <c r="Y50" s="858"/>
      <c r="Z50" s="858"/>
      <c r="AA50" s="858"/>
      <c r="AB50" s="858"/>
      <c r="AC50" s="858"/>
      <c r="AD50" s="858"/>
      <c r="AE50" s="858"/>
      <c r="AF50" s="858"/>
      <c r="AG50" s="858"/>
      <c r="AH50" s="858"/>
      <c r="AI50" s="858"/>
      <c r="AJ50" s="858"/>
      <c r="AK50" s="858"/>
      <c r="AL50" s="858"/>
      <c r="AM50" s="858"/>
      <c r="AN50" s="858"/>
      <c r="AO50" s="858"/>
      <c r="AP50" s="858"/>
      <c r="AQ50" s="858"/>
      <c r="AR50" s="858"/>
      <c r="AS50" s="858"/>
      <c r="AT50" s="858"/>
      <c r="AU50" s="858"/>
      <c r="AV50" s="858"/>
      <c r="AW50" s="858"/>
      <c r="AX50" s="280"/>
      <c r="AY50" s="280"/>
    </row>
    <row r="51" spans="1:51" ht="40.15" customHeight="1" x14ac:dyDescent="0.75">
      <c r="A51" s="442"/>
      <c r="B51" s="442"/>
      <c r="C51" s="442"/>
      <c r="D51" s="442"/>
      <c r="E51" s="442"/>
      <c r="F51" s="442"/>
      <c r="G51" s="442"/>
      <c r="H51" s="442"/>
      <c r="I51" s="442"/>
      <c r="J51" s="442"/>
      <c r="K51" s="442"/>
      <c r="L51" s="757"/>
      <c r="M51" s="927"/>
      <c r="N51" s="927"/>
      <c r="O51" s="750"/>
      <c r="P51" s="1539"/>
      <c r="Q51" s="1539"/>
      <c r="R51" s="441"/>
      <c r="S51" s="501"/>
      <c r="T51" s="280"/>
      <c r="U51" s="280"/>
      <c r="V51" s="280"/>
      <c r="W51" s="280"/>
      <c r="X51" s="858"/>
      <c r="Y51" s="858"/>
      <c r="Z51" s="858"/>
      <c r="AA51" s="858"/>
      <c r="AB51" s="858"/>
      <c r="AC51" s="858"/>
      <c r="AD51" s="858"/>
      <c r="AE51" s="858"/>
      <c r="AF51" s="858"/>
      <c r="AG51" s="858"/>
      <c r="AH51" s="858"/>
      <c r="AI51" s="858"/>
      <c r="AJ51" s="858"/>
      <c r="AK51" s="858"/>
      <c r="AL51" s="858"/>
      <c r="AM51" s="858"/>
      <c r="AN51" s="858"/>
      <c r="AO51" s="858"/>
      <c r="AP51" s="858"/>
      <c r="AQ51" s="858"/>
      <c r="AR51" s="858"/>
      <c r="AS51" s="858"/>
      <c r="AT51" s="858"/>
      <c r="AU51" s="858"/>
      <c r="AV51" s="858"/>
      <c r="AW51" s="858"/>
      <c r="AX51" s="280"/>
      <c r="AY51" s="280"/>
    </row>
    <row r="52" spans="1:51" ht="40.15" customHeight="1" x14ac:dyDescent="0.75">
      <c r="A52" s="442"/>
      <c r="B52" s="442"/>
      <c r="C52" s="442"/>
      <c r="D52" s="442"/>
      <c r="E52" s="442"/>
      <c r="F52" s="442"/>
      <c r="G52" s="442"/>
      <c r="H52" s="442">
        <v>34650</v>
      </c>
      <c r="I52" s="442"/>
      <c r="J52" s="442"/>
      <c r="K52" s="442"/>
      <c r="L52" s="757"/>
      <c r="M52" s="750"/>
      <c r="N52" s="750"/>
      <c r="O52" s="750"/>
      <c r="P52" s="1539"/>
      <c r="Q52" s="1539"/>
      <c r="R52" s="441"/>
      <c r="S52" s="501"/>
      <c r="T52" s="280"/>
      <c r="U52" s="280"/>
      <c r="V52" s="280"/>
      <c r="W52" s="280"/>
      <c r="X52" s="858"/>
      <c r="Y52" s="858"/>
      <c r="Z52" s="858"/>
      <c r="AA52" s="858"/>
      <c r="AB52" s="858"/>
      <c r="AC52" s="858"/>
      <c r="AD52" s="858"/>
      <c r="AE52" s="858"/>
      <c r="AF52" s="858"/>
      <c r="AG52" s="858"/>
      <c r="AH52" s="858"/>
      <c r="AI52" s="858"/>
      <c r="AJ52" s="858"/>
      <c r="AK52" s="858"/>
      <c r="AL52" s="858"/>
      <c r="AM52" s="858"/>
      <c r="AN52" s="858"/>
      <c r="AO52" s="858"/>
      <c r="AP52" s="858"/>
      <c r="AQ52" s="858"/>
      <c r="AR52" s="858"/>
      <c r="AS52" s="858"/>
      <c r="AT52" s="858"/>
      <c r="AU52" s="858"/>
      <c r="AV52" s="858"/>
      <c r="AW52" s="858"/>
      <c r="AX52" s="280"/>
      <c r="AY52" s="280"/>
    </row>
    <row r="53" spans="1:51" ht="21" x14ac:dyDescent="0.75">
      <c r="A53" s="442"/>
      <c r="B53" s="442"/>
      <c r="C53" s="442"/>
      <c r="D53" s="442"/>
      <c r="E53" s="442"/>
      <c r="F53" s="442">
        <v>3.5</v>
      </c>
      <c r="G53" s="442" t="s">
        <v>1193</v>
      </c>
      <c r="H53" s="442">
        <v>41250</v>
      </c>
      <c r="I53" s="442"/>
      <c r="J53" s="442"/>
      <c r="K53" s="442"/>
      <c r="L53" s="757"/>
      <c r="M53" s="750"/>
      <c r="N53" s="750"/>
      <c r="O53" s="750"/>
      <c r="P53" s="1539"/>
      <c r="Q53" s="1539"/>
      <c r="R53" s="280"/>
      <c r="S53" s="501"/>
      <c r="T53" s="280"/>
      <c r="U53" s="280"/>
      <c r="V53" s="280"/>
      <c r="W53" s="280"/>
      <c r="X53" s="858"/>
      <c r="Y53" s="858"/>
      <c r="Z53" s="858"/>
      <c r="AA53" s="858"/>
      <c r="AB53" s="858"/>
      <c r="AC53" s="858"/>
      <c r="AD53" s="858"/>
      <c r="AE53" s="858"/>
      <c r="AF53" s="858"/>
      <c r="AG53" s="858"/>
      <c r="AH53" s="858"/>
      <c r="AI53" s="858"/>
      <c r="AJ53" s="858"/>
      <c r="AK53" s="858"/>
      <c r="AL53" s="858"/>
      <c r="AM53" s="858"/>
      <c r="AN53" s="858"/>
      <c r="AO53" s="858"/>
      <c r="AP53" s="858"/>
      <c r="AQ53" s="858"/>
      <c r="AR53" s="858"/>
      <c r="AS53" s="858"/>
      <c r="AT53" s="858"/>
      <c r="AU53" s="858"/>
      <c r="AV53" s="858"/>
      <c r="AW53" s="858"/>
      <c r="AX53" s="280"/>
      <c r="AY53" s="280"/>
    </row>
    <row r="54" spans="1:51" ht="21" x14ac:dyDescent="0.75">
      <c r="A54" s="442"/>
      <c r="B54" s="442"/>
      <c r="C54" s="442"/>
      <c r="D54" s="442"/>
      <c r="E54" s="442"/>
      <c r="F54" s="442">
        <v>0.5</v>
      </c>
      <c r="G54" s="442" t="s">
        <v>1192</v>
      </c>
      <c r="H54" s="442">
        <v>30113</v>
      </c>
      <c r="I54" s="442"/>
      <c r="J54" s="442"/>
      <c r="K54" s="442"/>
      <c r="L54" s="757"/>
      <c r="M54" s="750"/>
      <c r="N54" s="750"/>
      <c r="O54" s="750"/>
      <c r="P54" s="1539"/>
      <c r="Q54" s="1539"/>
      <c r="R54" s="280"/>
      <c r="S54" s="501"/>
      <c r="T54" s="280"/>
      <c r="U54" s="280"/>
      <c r="V54" s="280"/>
      <c r="W54" s="280"/>
      <c r="X54" s="858"/>
      <c r="Y54" s="858"/>
      <c r="Z54" s="858"/>
      <c r="AA54" s="858"/>
      <c r="AB54" s="858"/>
      <c r="AC54" s="858"/>
      <c r="AD54" s="858"/>
      <c r="AE54" s="858"/>
      <c r="AF54" s="858"/>
      <c r="AG54" s="858"/>
      <c r="AH54" s="858"/>
      <c r="AI54" s="858"/>
      <c r="AJ54" s="858"/>
      <c r="AK54" s="858"/>
      <c r="AL54" s="858"/>
      <c r="AM54" s="858"/>
      <c r="AN54" s="858"/>
      <c r="AO54" s="858"/>
      <c r="AP54" s="858"/>
      <c r="AQ54" s="858"/>
      <c r="AR54" s="858"/>
      <c r="AS54" s="858"/>
      <c r="AT54" s="858"/>
      <c r="AU54" s="858"/>
      <c r="AV54" s="858"/>
      <c r="AW54" s="858"/>
      <c r="AX54" s="280"/>
      <c r="AY54" s="280"/>
    </row>
    <row r="55" spans="1:51" ht="21" x14ac:dyDescent="0.75">
      <c r="A55" s="442"/>
      <c r="B55" s="442"/>
      <c r="C55" s="442"/>
      <c r="D55" s="442"/>
      <c r="E55" s="442"/>
      <c r="F55" s="442">
        <v>0.5</v>
      </c>
      <c r="G55" s="442" t="s">
        <v>1191</v>
      </c>
      <c r="H55" s="442">
        <f>SUM(H52:H54)</f>
        <v>106013</v>
      </c>
      <c r="I55" s="442"/>
      <c r="J55" s="442"/>
      <c r="K55" s="442"/>
      <c r="L55" s="757"/>
      <c r="M55" s="750"/>
      <c r="N55" s="750"/>
      <c r="O55" s="750"/>
      <c r="P55" s="1539"/>
      <c r="Q55" s="1539"/>
      <c r="R55" s="280"/>
      <c r="S55" s="501"/>
      <c r="T55" s="280"/>
      <c r="U55" s="280"/>
      <c r="V55" s="280"/>
      <c r="W55" s="280"/>
      <c r="X55" s="858"/>
      <c r="Y55" s="858"/>
      <c r="Z55" s="858"/>
      <c r="AA55" s="858"/>
      <c r="AB55" s="858"/>
      <c r="AC55" s="858"/>
      <c r="AD55" s="858"/>
      <c r="AE55" s="858"/>
      <c r="AF55" s="858"/>
      <c r="AG55" s="858"/>
      <c r="AH55" s="858"/>
      <c r="AI55" s="858"/>
      <c r="AJ55" s="858"/>
      <c r="AK55" s="858"/>
      <c r="AL55" s="858"/>
      <c r="AM55" s="858"/>
      <c r="AN55" s="858"/>
      <c r="AO55" s="858"/>
      <c r="AP55" s="858"/>
      <c r="AQ55" s="858"/>
      <c r="AR55" s="858"/>
      <c r="AS55" s="858"/>
      <c r="AT55" s="858"/>
      <c r="AU55" s="858"/>
      <c r="AV55" s="858"/>
      <c r="AW55" s="858"/>
      <c r="AX55" s="280"/>
      <c r="AY55" s="280"/>
    </row>
    <row r="56" spans="1:51" ht="21" x14ac:dyDescent="0.75">
      <c r="A56" s="442"/>
      <c r="B56" s="442"/>
      <c r="C56" s="442"/>
      <c r="D56" s="442"/>
      <c r="E56" s="442"/>
      <c r="F56" s="442"/>
      <c r="G56" s="442"/>
      <c r="H56" s="442"/>
      <c r="I56" s="442"/>
      <c r="J56" s="442"/>
      <c r="K56" s="442"/>
      <c r="L56" s="757"/>
      <c r="M56" s="750"/>
      <c r="N56" s="750"/>
      <c r="O56" s="750"/>
      <c r="P56" s="1539"/>
      <c r="Q56" s="1539"/>
      <c r="R56" s="280"/>
      <c r="S56" s="501"/>
      <c r="T56" s="280"/>
      <c r="U56" s="280"/>
      <c r="V56" s="280"/>
      <c r="W56" s="280"/>
      <c r="X56" s="858"/>
      <c r="Y56" s="858"/>
      <c r="Z56" s="858"/>
      <c r="AA56" s="858"/>
      <c r="AB56" s="858"/>
      <c r="AC56" s="858"/>
      <c r="AD56" s="858"/>
      <c r="AE56" s="858"/>
      <c r="AF56" s="858"/>
      <c r="AG56" s="858"/>
      <c r="AH56" s="858"/>
      <c r="AI56" s="858"/>
      <c r="AJ56" s="858"/>
      <c r="AK56" s="858"/>
      <c r="AL56" s="858"/>
      <c r="AM56" s="858"/>
      <c r="AN56" s="858"/>
      <c r="AO56" s="858"/>
      <c r="AP56" s="858"/>
      <c r="AQ56" s="858"/>
      <c r="AR56" s="858"/>
      <c r="AS56" s="858"/>
      <c r="AT56" s="858"/>
      <c r="AU56" s="858"/>
      <c r="AV56" s="858"/>
      <c r="AW56" s="858"/>
      <c r="AX56" s="280"/>
      <c r="AY56" s="280"/>
    </row>
    <row r="57" spans="1:51" ht="21" x14ac:dyDescent="0.75">
      <c r="A57" s="442"/>
      <c r="B57" s="442"/>
      <c r="C57" s="442"/>
      <c r="D57" s="442"/>
      <c r="E57" s="442"/>
      <c r="F57" s="442"/>
      <c r="G57" s="442"/>
      <c r="H57" s="442"/>
      <c r="I57" s="442"/>
      <c r="J57" s="442"/>
      <c r="K57" s="442"/>
      <c r="L57" s="757"/>
      <c r="M57" s="750"/>
      <c r="N57" s="750"/>
      <c r="O57" s="750"/>
      <c r="P57" s="1539"/>
      <c r="Q57" s="1539"/>
      <c r="R57" s="280"/>
      <c r="S57" s="501"/>
      <c r="T57" s="280"/>
      <c r="U57" s="280"/>
      <c r="V57" s="280"/>
      <c r="W57" s="280"/>
      <c r="X57" s="858"/>
      <c r="Y57" s="858"/>
      <c r="Z57" s="858"/>
      <c r="AA57" s="858"/>
      <c r="AB57" s="858"/>
      <c r="AC57" s="858"/>
      <c r="AD57" s="858"/>
      <c r="AE57" s="858"/>
      <c r="AF57" s="858"/>
      <c r="AG57" s="858"/>
      <c r="AH57" s="858"/>
      <c r="AI57" s="858"/>
      <c r="AJ57" s="858"/>
      <c r="AK57" s="858"/>
      <c r="AL57" s="858"/>
      <c r="AM57" s="858"/>
      <c r="AN57" s="858"/>
      <c r="AO57" s="858"/>
      <c r="AP57" s="858"/>
      <c r="AQ57" s="858"/>
      <c r="AR57" s="858"/>
      <c r="AS57" s="858"/>
      <c r="AT57" s="858"/>
      <c r="AU57" s="858"/>
      <c r="AV57" s="858"/>
      <c r="AW57" s="858"/>
      <c r="AX57" s="280"/>
      <c r="AY57" s="280"/>
    </row>
    <row r="58" spans="1:51" ht="14.75" x14ac:dyDescent="0.75">
      <c r="A58" s="442"/>
      <c r="B58" s="442"/>
      <c r="C58" s="442"/>
      <c r="D58" s="442"/>
      <c r="E58" s="442"/>
      <c r="F58" s="442"/>
      <c r="G58" s="442"/>
      <c r="H58" s="442"/>
      <c r="I58" s="442"/>
      <c r="J58" s="442"/>
      <c r="K58" s="442"/>
      <c r="L58" s="757"/>
      <c r="M58" s="442"/>
      <c r="N58" s="442"/>
      <c r="O58" s="442"/>
      <c r="P58" s="441"/>
      <c r="Q58" s="441"/>
      <c r="R58" s="280"/>
      <c r="S58" s="501"/>
      <c r="T58" s="280"/>
      <c r="U58" s="280"/>
      <c r="V58" s="280"/>
      <c r="W58" s="280"/>
      <c r="X58" s="858"/>
      <c r="Y58" s="858"/>
      <c r="Z58" s="858"/>
      <c r="AA58" s="858"/>
      <c r="AB58" s="858"/>
      <c r="AC58" s="858"/>
      <c r="AD58" s="858"/>
      <c r="AE58" s="858"/>
      <c r="AF58" s="858"/>
      <c r="AG58" s="858"/>
      <c r="AH58" s="858"/>
      <c r="AI58" s="858"/>
      <c r="AJ58" s="858"/>
      <c r="AK58" s="858"/>
      <c r="AL58" s="858"/>
      <c r="AM58" s="858"/>
      <c r="AN58" s="858"/>
      <c r="AO58" s="858"/>
      <c r="AP58" s="858"/>
      <c r="AQ58" s="858"/>
      <c r="AR58" s="858"/>
      <c r="AS58" s="858"/>
      <c r="AT58" s="858"/>
      <c r="AU58" s="858"/>
      <c r="AV58" s="858"/>
      <c r="AW58" s="858"/>
      <c r="AX58" s="280"/>
      <c r="AY58" s="280"/>
    </row>
    <row r="59" spans="1:51" ht="14.75" x14ac:dyDescent="0.75">
      <c r="A59" s="442"/>
      <c r="B59" s="442"/>
      <c r="C59" s="442"/>
      <c r="D59" s="442"/>
      <c r="E59" s="442"/>
      <c r="F59" s="442"/>
      <c r="G59" s="442"/>
      <c r="H59" s="442"/>
      <c r="I59" s="442"/>
      <c r="J59" s="442"/>
      <c r="K59" s="442"/>
      <c r="L59" s="757"/>
      <c r="M59" s="442"/>
      <c r="N59" s="442"/>
      <c r="O59" s="442"/>
      <c r="P59" s="441"/>
      <c r="Q59" s="441"/>
      <c r="R59" s="280"/>
      <c r="S59" s="501"/>
      <c r="T59" s="280"/>
      <c r="U59" s="280"/>
      <c r="V59" s="280"/>
      <c r="W59" s="280"/>
      <c r="X59" s="858"/>
      <c r="Y59" s="858"/>
      <c r="Z59" s="858"/>
      <c r="AA59" s="858"/>
      <c r="AB59" s="858"/>
      <c r="AC59" s="858"/>
      <c r="AD59" s="858"/>
      <c r="AE59" s="858"/>
      <c r="AF59" s="858"/>
      <c r="AG59" s="858"/>
      <c r="AH59" s="858"/>
      <c r="AI59" s="858"/>
      <c r="AJ59" s="858"/>
      <c r="AK59" s="858"/>
      <c r="AL59" s="858"/>
      <c r="AM59" s="858"/>
      <c r="AN59" s="858"/>
      <c r="AO59" s="858"/>
      <c r="AP59" s="858"/>
      <c r="AQ59" s="858"/>
      <c r="AR59" s="858"/>
      <c r="AS59" s="858"/>
      <c r="AT59" s="858"/>
      <c r="AU59" s="858"/>
      <c r="AV59" s="858"/>
      <c r="AW59" s="858"/>
      <c r="AX59" s="280"/>
      <c r="AY59" s="280"/>
    </row>
    <row r="60" spans="1:51" ht="14.75" x14ac:dyDescent="0.75">
      <c r="A60" s="442"/>
      <c r="B60" s="442"/>
      <c r="C60" s="442"/>
      <c r="D60" s="442"/>
      <c r="E60" s="442"/>
      <c r="F60" s="442"/>
      <c r="G60" s="442"/>
      <c r="H60" s="442"/>
      <c r="I60" s="442"/>
      <c r="J60" s="442"/>
      <c r="K60" s="442"/>
      <c r="L60" s="757"/>
      <c r="M60" s="442"/>
      <c r="N60" s="442"/>
      <c r="O60" s="442"/>
      <c r="P60" s="441"/>
      <c r="Q60" s="441"/>
      <c r="R60" s="280"/>
      <c r="S60" s="501"/>
      <c r="T60" s="280"/>
      <c r="U60" s="280"/>
      <c r="V60" s="280"/>
      <c r="W60" s="280"/>
      <c r="X60" s="858"/>
      <c r="Y60" s="858"/>
      <c r="Z60" s="858"/>
      <c r="AA60" s="858"/>
      <c r="AB60" s="858"/>
      <c r="AC60" s="858"/>
      <c r="AD60" s="858"/>
      <c r="AE60" s="858"/>
      <c r="AF60" s="858"/>
      <c r="AG60" s="858"/>
      <c r="AH60" s="858"/>
      <c r="AI60" s="858"/>
      <c r="AJ60" s="858"/>
      <c r="AK60" s="858"/>
      <c r="AL60" s="858"/>
      <c r="AM60" s="858"/>
      <c r="AN60" s="858"/>
      <c r="AO60" s="858"/>
      <c r="AP60" s="858"/>
      <c r="AQ60" s="858"/>
      <c r="AR60" s="858"/>
      <c r="AS60" s="858"/>
      <c r="AT60" s="858"/>
      <c r="AU60" s="858"/>
      <c r="AV60" s="858"/>
      <c r="AW60" s="858"/>
      <c r="AX60" s="280"/>
      <c r="AY60" s="280"/>
    </row>
    <row r="61" spans="1:51" ht="14.75" x14ac:dyDescent="0.75">
      <c r="A61" s="442"/>
      <c r="B61" s="442"/>
      <c r="C61" s="442"/>
      <c r="D61" s="442"/>
      <c r="E61" s="442"/>
      <c r="F61" s="442"/>
      <c r="G61" s="442"/>
      <c r="H61" s="442"/>
      <c r="I61" s="442"/>
      <c r="J61" s="442"/>
      <c r="K61" s="442"/>
      <c r="L61" s="757"/>
      <c r="M61" s="442"/>
      <c r="N61" s="442"/>
      <c r="O61" s="442"/>
      <c r="P61" s="441"/>
      <c r="Q61" s="441"/>
      <c r="R61" s="280"/>
      <c r="S61" s="501"/>
      <c r="T61" s="280"/>
      <c r="U61" s="280"/>
      <c r="V61" s="280"/>
      <c r="W61" s="280"/>
      <c r="X61" s="858"/>
      <c r="Y61" s="858"/>
      <c r="Z61" s="858"/>
      <c r="AA61" s="858"/>
      <c r="AB61" s="858"/>
      <c r="AC61" s="858"/>
      <c r="AD61" s="858"/>
      <c r="AE61" s="858"/>
      <c r="AF61" s="858"/>
      <c r="AG61" s="858"/>
      <c r="AH61" s="858"/>
      <c r="AI61" s="858"/>
      <c r="AJ61" s="858"/>
      <c r="AK61" s="858"/>
      <c r="AL61" s="858"/>
      <c r="AM61" s="858"/>
      <c r="AN61" s="858"/>
      <c r="AO61" s="858"/>
      <c r="AP61" s="858"/>
      <c r="AQ61" s="858"/>
      <c r="AR61" s="858"/>
      <c r="AS61" s="858"/>
      <c r="AT61" s="858"/>
      <c r="AU61" s="858"/>
      <c r="AV61" s="858"/>
      <c r="AW61" s="858"/>
      <c r="AX61" s="280"/>
      <c r="AY61" s="280"/>
    </row>
    <row r="62" spans="1:51" ht="14.75" x14ac:dyDescent="0.75">
      <c r="A62" s="442"/>
      <c r="B62" s="442"/>
      <c r="C62" s="442"/>
      <c r="D62" s="442"/>
      <c r="E62" s="442"/>
      <c r="F62" s="442"/>
      <c r="G62" s="442"/>
      <c r="H62" s="442"/>
      <c r="I62" s="442"/>
      <c r="J62" s="442"/>
      <c r="K62" s="442"/>
      <c r="L62" s="757"/>
      <c r="M62" s="442"/>
      <c r="N62" s="442"/>
      <c r="O62" s="442"/>
      <c r="P62" s="441"/>
      <c r="Q62" s="441"/>
      <c r="R62" s="280"/>
      <c r="S62" s="501"/>
      <c r="T62" s="280"/>
      <c r="U62" s="280"/>
      <c r="V62" s="280"/>
      <c r="W62" s="280"/>
      <c r="X62" s="858"/>
      <c r="Y62" s="858"/>
      <c r="Z62" s="858"/>
      <c r="AA62" s="858"/>
      <c r="AB62" s="858"/>
      <c r="AC62" s="858"/>
      <c r="AD62" s="858"/>
      <c r="AE62" s="858"/>
      <c r="AF62" s="858"/>
      <c r="AG62" s="858"/>
      <c r="AH62" s="858"/>
      <c r="AI62" s="858"/>
      <c r="AJ62" s="858"/>
      <c r="AK62" s="858"/>
      <c r="AL62" s="858"/>
      <c r="AM62" s="858"/>
      <c r="AN62" s="858"/>
      <c r="AO62" s="858"/>
      <c r="AP62" s="858"/>
      <c r="AQ62" s="858"/>
      <c r="AR62" s="858"/>
      <c r="AS62" s="858"/>
      <c r="AT62" s="858"/>
      <c r="AU62" s="858"/>
      <c r="AV62" s="858"/>
      <c r="AW62" s="858"/>
      <c r="AX62" s="280"/>
      <c r="AY62" s="280"/>
    </row>
    <row r="63" spans="1:51" ht="14.75" x14ac:dyDescent="0.75">
      <c r="A63" s="442"/>
      <c r="B63" s="442"/>
      <c r="C63" s="442"/>
      <c r="D63" s="442"/>
      <c r="E63" s="442"/>
      <c r="F63" s="442"/>
      <c r="G63" s="442"/>
      <c r="H63" s="442"/>
      <c r="I63" s="442"/>
      <c r="J63" s="442"/>
      <c r="K63" s="442"/>
      <c r="L63" s="757"/>
      <c r="M63" s="442"/>
      <c r="N63" s="442"/>
      <c r="O63" s="442"/>
      <c r="P63" s="441"/>
      <c r="Q63" s="441"/>
      <c r="R63" s="280"/>
      <c r="S63" s="501"/>
      <c r="T63" s="280"/>
      <c r="U63" s="280"/>
      <c r="V63" s="280"/>
      <c r="W63" s="280"/>
      <c r="X63" s="858"/>
      <c r="Y63" s="858"/>
      <c r="Z63" s="858"/>
      <c r="AA63" s="858"/>
      <c r="AB63" s="858"/>
      <c r="AC63" s="858"/>
      <c r="AD63" s="858"/>
      <c r="AE63" s="858"/>
      <c r="AF63" s="858"/>
      <c r="AG63" s="858"/>
      <c r="AH63" s="858"/>
      <c r="AI63" s="858"/>
      <c r="AJ63" s="858"/>
      <c r="AK63" s="858"/>
      <c r="AL63" s="858"/>
      <c r="AM63" s="858"/>
      <c r="AN63" s="858"/>
      <c r="AO63" s="858"/>
      <c r="AP63" s="858"/>
      <c r="AQ63" s="858"/>
      <c r="AR63" s="858"/>
      <c r="AS63" s="858"/>
      <c r="AT63" s="858"/>
      <c r="AU63" s="858"/>
      <c r="AV63" s="858"/>
      <c r="AW63" s="858"/>
      <c r="AX63" s="280"/>
      <c r="AY63" s="280"/>
    </row>
    <row r="64" spans="1:51" ht="14.75" x14ac:dyDescent="0.75">
      <c r="A64" s="442"/>
      <c r="B64" s="442"/>
      <c r="C64" s="442"/>
      <c r="D64" s="442"/>
      <c r="E64" s="442"/>
      <c r="F64" s="442"/>
      <c r="G64" s="442"/>
      <c r="H64" s="442"/>
      <c r="I64" s="442"/>
      <c r="J64" s="442"/>
      <c r="K64" s="442"/>
      <c r="L64" s="757"/>
      <c r="M64" s="442"/>
      <c r="N64" s="442"/>
      <c r="O64" s="442"/>
      <c r="P64" s="441"/>
      <c r="Q64" s="441"/>
      <c r="R64" s="280"/>
      <c r="S64" s="501"/>
      <c r="T64" s="280"/>
      <c r="U64" s="280"/>
      <c r="V64" s="280"/>
      <c r="W64" s="280"/>
      <c r="X64" s="858"/>
      <c r="Y64" s="858"/>
      <c r="Z64" s="858"/>
      <c r="AA64" s="858"/>
      <c r="AB64" s="858"/>
      <c r="AC64" s="858"/>
      <c r="AD64" s="858"/>
      <c r="AE64" s="858"/>
      <c r="AF64" s="858"/>
      <c r="AG64" s="858"/>
      <c r="AH64" s="858"/>
      <c r="AI64" s="858"/>
      <c r="AJ64" s="858"/>
      <c r="AK64" s="858"/>
      <c r="AL64" s="858"/>
      <c r="AM64" s="858"/>
      <c r="AN64" s="858"/>
      <c r="AO64" s="858"/>
      <c r="AP64" s="858"/>
      <c r="AQ64" s="858"/>
      <c r="AR64" s="858"/>
      <c r="AS64" s="858"/>
      <c r="AT64" s="858"/>
      <c r="AU64" s="858"/>
      <c r="AV64" s="858"/>
      <c r="AW64" s="858"/>
      <c r="AX64" s="280"/>
      <c r="AY64" s="280"/>
    </row>
    <row r="65" spans="1:51" ht="14.75" x14ac:dyDescent="0.75">
      <c r="A65" s="442"/>
      <c r="B65" s="442"/>
      <c r="C65" s="442"/>
      <c r="D65" s="442"/>
      <c r="E65" s="442"/>
      <c r="F65" s="442"/>
      <c r="G65" s="442"/>
      <c r="H65" s="442"/>
      <c r="I65" s="442"/>
      <c r="J65" s="442"/>
      <c r="K65" s="442"/>
      <c r="L65" s="757"/>
      <c r="M65" s="442"/>
      <c r="N65" s="442"/>
      <c r="O65" s="442"/>
      <c r="P65" s="441"/>
      <c r="Q65" s="441"/>
      <c r="R65" s="280"/>
      <c r="S65" s="501"/>
      <c r="T65" s="280"/>
      <c r="U65" s="280"/>
      <c r="V65" s="280"/>
      <c r="W65" s="280"/>
      <c r="X65" s="858"/>
      <c r="Y65" s="858"/>
      <c r="Z65" s="858"/>
      <c r="AA65" s="858"/>
      <c r="AB65" s="858"/>
      <c r="AC65" s="858"/>
      <c r="AD65" s="858"/>
      <c r="AE65" s="858"/>
      <c r="AF65" s="858"/>
      <c r="AG65" s="858"/>
      <c r="AH65" s="858"/>
      <c r="AI65" s="858"/>
      <c r="AJ65" s="858"/>
      <c r="AK65" s="858"/>
      <c r="AL65" s="858"/>
      <c r="AM65" s="858"/>
      <c r="AN65" s="858"/>
      <c r="AO65" s="858"/>
      <c r="AP65" s="858"/>
      <c r="AQ65" s="858"/>
      <c r="AR65" s="858"/>
      <c r="AS65" s="858"/>
      <c r="AT65" s="858"/>
      <c r="AU65" s="858"/>
      <c r="AV65" s="858"/>
      <c r="AW65" s="858"/>
      <c r="AX65" s="280"/>
      <c r="AY65" s="280"/>
    </row>
    <row r="66" spans="1:51" ht="14.75" x14ac:dyDescent="0.75">
      <c r="A66" s="442"/>
      <c r="B66" s="442"/>
      <c r="C66" s="442"/>
      <c r="D66" s="442"/>
      <c r="E66" s="442"/>
      <c r="F66" s="442"/>
      <c r="G66" s="442"/>
      <c r="H66" s="442"/>
      <c r="I66" s="442"/>
      <c r="J66" s="442"/>
      <c r="K66" s="442"/>
      <c r="L66" s="757"/>
      <c r="M66" s="442"/>
      <c r="N66" s="442"/>
      <c r="O66" s="442"/>
      <c r="P66" s="441"/>
      <c r="Q66" s="441"/>
      <c r="R66" s="280"/>
      <c r="S66" s="501"/>
      <c r="T66" s="280"/>
      <c r="U66" s="280"/>
      <c r="V66" s="280"/>
      <c r="W66" s="280"/>
      <c r="X66" s="858"/>
      <c r="Y66" s="858"/>
      <c r="Z66" s="858"/>
      <c r="AA66" s="858"/>
      <c r="AB66" s="858"/>
      <c r="AC66" s="858"/>
      <c r="AD66" s="858"/>
      <c r="AE66" s="858"/>
      <c r="AF66" s="858"/>
      <c r="AG66" s="858"/>
      <c r="AH66" s="858"/>
      <c r="AI66" s="858"/>
      <c r="AJ66" s="858"/>
      <c r="AK66" s="858"/>
      <c r="AL66" s="858"/>
      <c r="AM66" s="858"/>
      <c r="AN66" s="858"/>
      <c r="AO66" s="858"/>
      <c r="AP66" s="858"/>
      <c r="AQ66" s="858"/>
      <c r="AR66" s="858"/>
      <c r="AS66" s="858"/>
      <c r="AT66" s="858"/>
      <c r="AU66" s="858"/>
      <c r="AV66" s="858"/>
      <c r="AW66" s="858"/>
      <c r="AX66" s="280"/>
      <c r="AY66" s="280"/>
    </row>
    <row r="67" spans="1:51" ht="14.75" x14ac:dyDescent="0.75">
      <c r="A67" s="442"/>
      <c r="B67" s="442"/>
      <c r="C67" s="442"/>
      <c r="D67" s="442"/>
      <c r="E67" s="442"/>
      <c r="F67" s="442"/>
      <c r="G67" s="442"/>
      <c r="H67" s="442"/>
      <c r="I67" s="442"/>
      <c r="J67" s="442"/>
      <c r="K67" s="442"/>
      <c r="L67" s="757"/>
      <c r="M67" s="442"/>
      <c r="N67" s="442"/>
      <c r="O67" s="442"/>
      <c r="P67" s="441"/>
      <c r="Q67" s="441"/>
      <c r="R67" s="280"/>
      <c r="S67" s="501"/>
      <c r="T67" s="280"/>
      <c r="U67" s="280"/>
      <c r="V67" s="280"/>
      <c r="W67" s="280"/>
      <c r="X67" s="858"/>
      <c r="Y67" s="858"/>
      <c r="Z67" s="858"/>
      <c r="AA67" s="858"/>
      <c r="AB67" s="858"/>
      <c r="AC67" s="858"/>
      <c r="AD67" s="858"/>
      <c r="AE67" s="858"/>
      <c r="AF67" s="858"/>
      <c r="AG67" s="858"/>
      <c r="AH67" s="858"/>
      <c r="AI67" s="858"/>
      <c r="AJ67" s="858"/>
      <c r="AK67" s="858"/>
      <c r="AL67" s="858"/>
      <c r="AM67" s="858"/>
      <c r="AN67" s="858"/>
      <c r="AO67" s="858"/>
      <c r="AP67" s="858"/>
      <c r="AQ67" s="858"/>
      <c r="AR67" s="858"/>
      <c r="AS67" s="858"/>
      <c r="AT67" s="858"/>
      <c r="AU67" s="858"/>
      <c r="AV67" s="858"/>
      <c r="AW67" s="858"/>
      <c r="AX67" s="280"/>
      <c r="AY67" s="280"/>
    </row>
    <row r="68" spans="1:51" ht="14.75" x14ac:dyDescent="0.75">
      <c r="A68" s="442"/>
      <c r="B68" s="442"/>
      <c r="C68" s="442"/>
      <c r="D68" s="442"/>
      <c r="E68" s="442"/>
      <c r="F68" s="442"/>
      <c r="G68" s="442"/>
      <c r="H68" s="442"/>
      <c r="I68" s="442"/>
      <c r="J68" s="442"/>
      <c r="K68" s="442"/>
      <c r="L68" s="757"/>
      <c r="M68" s="442"/>
      <c r="N68" s="442"/>
      <c r="O68" s="442"/>
      <c r="P68" s="441"/>
      <c r="Q68" s="441"/>
      <c r="R68" s="280"/>
      <c r="S68" s="501"/>
      <c r="T68" s="280"/>
      <c r="U68" s="280"/>
      <c r="V68" s="280"/>
      <c r="W68" s="280"/>
      <c r="X68" s="858"/>
      <c r="Y68" s="858"/>
      <c r="Z68" s="858"/>
      <c r="AA68" s="858"/>
      <c r="AB68" s="858"/>
      <c r="AC68" s="858"/>
      <c r="AD68" s="858"/>
      <c r="AE68" s="858"/>
      <c r="AF68" s="858"/>
      <c r="AG68" s="858"/>
      <c r="AH68" s="858"/>
      <c r="AI68" s="858"/>
      <c r="AJ68" s="858"/>
      <c r="AK68" s="858"/>
      <c r="AL68" s="858"/>
      <c r="AM68" s="858"/>
      <c r="AN68" s="858"/>
      <c r="AO68" s="858"/>
      <c r="AP68" s="858"/>
      <c r="AQ68" s="858"/>
      <c r="AR68" s="858"/>
      <c r="AS68" s="858"/>
      <c r="AT68" s="858"/>
      <c r="AU68" s="858"/>
      <c r="AV68" s="858"/>
      <c r="AW68" s="858"/>
      <c r="AX68" s="280"/>
      <c r="AY68" s="280"/>
    </row>
    <row r="69" spans="1:51" ht="14.75" x14ac:dyDescent="0.75">
      <c r="A69" s="442"/>
      <c r="B69" s="442"/>
      <c r="C69" s="442"/>
      <c r="D69" s="442"/>
      <c r="E69" s="442"/>
      <c r="F69" s="442"/>
      <c r="G69" s="442"/>
      <c r="H69" s="442"/>
      <c r="I69" s="442"/>
      <c r="J69" s="442"/>
      <c r="K69" s="442"/>
      <c r="L69" s="757"/>
      <c r="M69" s="442"/>
      <c r="N69" s="442"/>
      <c r="O69" s="442"/>
      <c r="P69" s="441"/>
      <c r="Q69" s="441"/>
      <c r="R69" s="280"/>
      <c r="S69" s="501"/>
      <c r="T69" s="280"/>
      <c r="U69" s="280"/>
      <c r="V69" s="280"/>
      <c r="W69" s="280"/>
      <c r="X69" s="858"/>
      <c r="Y69" s="858"/>
      <c r="Z69" s="858"/>
      <c r="AA69" s="858"/>
      <c r="AB69" s="858"/>
      <c r="AC69" s="858"/>
      <c r="AD69" s="858"/>
      <c r="AE69" s="858"/>
      <c r="AF69" s="858"/>
      <c r="AG69" s="858"/>
      <c r="AH69" s="858"/>
      <c r="AI69" s="858"/>
      <c r="AJ69" s="858"/>
      <c r="AK69" s="858"/>
      <c r="AL69" s="858"/>
      <c r="AM69" s="858"/>
      <c r="AN69" s="858"/>
      <c r="AO69" s="858"/>
      <c r="AP69" s="858"/>
      <c r="AQ69" s="858"/>
      <c r="AR69" s="858"/>
      <c r="AS69" s="858"/>
      <c r="AT69" s="858"/>
      <c r="AU69" s="858"/>
      <c r="AV69" s="858"/>
      <c r="AW69" s="858"/>
      <c r="AX69" s="280"/>
      <c r="AY69" s="280"/>
    </row>
    <row r="70" spans="1:51" ht="14.75" x14ac:dyDescent="0.75">
      <c r="A70" s="442"/>
      <c r="B70" s="442"/>
      <c r="C70" s="442"/>
      <c r="D70" s="442"/>
      <c r="E70" s="442"/>
      <c r="F70" s="442"/>
      <c r="G70" s="442"/>
      <c r="H70" s="442"/>
      <c r="I70" s="442"/>
      <c r="J70" s="442"/>
      <c r="K70" s="442"/>
      <c r="L70" s="757"/>
      <c r="M70" s="442"/>
      <c r="N70" s="442"/>
      <c r="O70" s="442"/>
      <c r="P70" s="441"/>
      <c r="Q70" s="441"/>
      <c r="R70" s="280"/>
      <c r="S70" s="501"/>
      <c r="T70" s="280"/>
      <c r="U70" s="280"/>
      <c r="V70" s="280"/>
      <c r="W70" s="280"/>
      <c r="X70" s="858"/>
      <c r="Y70" s="858"/>
      <c r="Z70" s="858"/>
      <c r="AA70" s="858"/>
      <c r="AB70" s="858"/>
      <c r="AC70" s="858"/>
      <c r="AD70" s="858"/>
      <c r="AE70" s="858"/>
      <c r="AF70" s="858"/>
      <c r="AG70" s="858"/>
      <c r="AH70" s="858"/>
      <c r="AI70" s="858"/>
      <c r="AJ70" s="858"/>
      <c r="AK70" s="858"/>
      <c r="AL70" s="858"/>
      <c r="AM70" s="858"/>
      <c r="AN70" s="858"/>
      <c r="AO70" s="858"/>
      <c r="AP70" s="858"/>
      <c r="AQ70" s="858"/>
      <c r="AR70" s="858"/>
      <c r="AS70" s="858"/>
      <c r="AT70" s="858"/>
      <c r="AU70" s="858"/>
      <c r="AV70" s="858"/>
      <c r="AW70" s="858"/>
      <c r="AX70" s="280"/>
      <c r="AY70" s="280"/>
    </row>
    <row r="71" spans="1:51" ht="14.75" x14ac:dyDescent="0.75">
      <c r="A71" s="442"/>
      <c r="B71" s="442"/>
      <c r="C71" s="442"/>
      <c r="D71" s="442"/>
      <c r="E71" s="442"/>
      <c r="F71" s="442"/>
      <c r="G71" s="442"/>
      <c r="H71" s="442"/>
      <c r="I71" s="442"/>
      <c r="J71" s="442"/>
      <c r="K71" s="442"/>
      <c r="L71" s="757"/>
      <c r="M71" s="442"/>
      <c r="N71" s="442"/>
      <c r="O71" s="442"/>
      <c r="P71" s="441"/>
      <c r="Q71" s="441"/>
      <c r="R71" s="280"/>
      <c r="S71" s="501"/>
      <c r="T71" s="280"/>
      <c r="U71" s="280"/>
      <c r="V71" s="280"/>
      <c r="W71" s="280"/>
      <c r="X71" s="858"/>
      <c r="Y71" s="858"/>
      <c r="Z71" s="858"/>
      <c r="AA71" s="858"/>
      <c r="AB71" s="858"/>
      <c r="AC71" s="858"/>
      <c r="AD71" s="858"/>
      <c r="AE71" s="858"/>
      <c r="AF71" s="858"/>
      <c r="AG71" s="858"/>
      <c r="AH71" s="858"/>
      <c r="AI71" s="858"/>
      <c r="AJ71" s="858"/>
      <c r="AK71" s="858"/>
      <c r="AL71" s="858"/>
      <c r="AM71" s="858"/>
      <c r="AN71" s="858"/>
      <c r="AO71" s="858"/>
      <c r="AP71" s="858"/>
      <c r="AQ71" s="858"/>
      <c r="AR71" s="858"/>
      <c r="AS71" s="858"/>
      <c r="AT71" s="858"/>
      <c r="AU71" s="858"/>
      <c r="AV71" s="858"/>
      <c r="AW71" s="858"/>
      <c r="AX71" s="280"/>
      <c r="AY71" s="280"/>
    </row>
    <row r="72" spans="1:51" ht="14.75" x14ac:dyDescent="0.75">
      <c r="A72" s="442"/>
      <c r="B72" s="442"/>
      <c r="C72" s="442"/>
      <c r="D72" s="442"/>
      <c r="E72" s="442"/>
      <c r="F72" s="442"/>
      <c r="G72" s="442"/>
      <c r="H72" s="442"/>
      <c r="I72" s="442"/>
      <c r="J72" s="442"/>
      <c r="K72" s="442"/>
      <c r="L72" s="757"/>
      <c r="M72" s="442"/>
      <c r="N72" s="442"/>
      <c r="O72" s="442"/>
      <c r="P72" s="441"/>
      <c r="Q72" s="441"/>
      <c r="R72" s="280"/>
      <c r="S72" s="501"/>
      <c r="T72" s="280"/>
      <c r="U72" s="280"/>
      <c r="V72" s="280"/>
      <c r="W72" s="280"/>
      <c r="X72" s="858"/>
      <c r="Y72" s="858"/>
      <c r="Z72" s="858"/>
      <c r="AA72" s="858"/>
      <c r="AB72" s="858"/>
      <c r="AC72" s="858"/>
      <c r="AD72" s="858"/>
      <c r="AE72" s="858"/>
      <c r="AF72" s="858"/>
      <c r="AG72" s="858"/>
      <c r="AH72" s="858"/>
      <c r="AI72" s="858"/>
      <c r="AJ72" s="858"/>
      <c r="AK72" s="858"/>
      <c r="AL72" s="858"/>
      <c r="AM72" s="858"/>
      <c r="AN72" s="858"/>
      <c r="AO72" s="858"/>
      <c r="AP72" s="858"/>
      <c r="AQ72" s="858"/>
      <c r="AR72" s="858"/>
      <c r="AS72" s="858"/>
      <c r="AT72" s="858"/>
      <c r="AU72" s="858"/>
      <c r="AV72" s="858"/>
      <c r="AW72" s="858"/>
      <c r="AX72" s="280"/>
      <c r="AY72" s="280"/>
    </row>
    <row r="73" spans="1:51" ht="14.75" x14ac:dyDescent="0.75">
      <c r="A73" s="442"/>
      <c r="B73" s="442"/>
      <c r="C73" s="442"/>
      <c r="D73" s="442"/>
      <c r="E73" s="442"/>
      <c r="F73" s="442"/>
      <c r="G73" s="442"/>
      <c r="H73" s="442"/>
      <c r="I73" s="442"/>
      <c r="J73" s="442"/>
      <c r="K73" s="442"/>
      <c r="L73" s="757"/>
      <c r="M73" s="442"/>
      <c r="N73" s="442"/>
      <c r="O73" s="442"/>
      <c r="P73" s="441"/>
      <c r="Q73" s="441"/>
      <c r="R73" s="280"/>
      <c r="S73" s="501"/>
      <c r="T73" s="280"/>
      <c r="U73" s="280"/>
      <c r="V73" s="280"/>
      <c r="W73" s="280"/>
      <c r="X73" s="858"/>
      <c r="Y73" s="858"/>
      <c r="Z73" s="858"/>
      <c r="AA73" s="858"/>
      <c r="AB73" s="858"/>
      <c r="AC73" s="858"/>
      <c r="AD73" s="858"/>
      <c r="AE73" s="858"/>
      <c r="AF73" s="858"/>
      <c r="AG73" s="858"/>
      <c r="AH73" s="858"/>
      <c r="AI73" s="858"/>
      <c r="AJ73" s="858"/>
      <c r="AK73" s="858"/>
      <c r="AL73" s="858"/>
      <c r="AM73" s="858"/>
      <c r="AN73" s="858"/>
      <c r="AO73" s="858"/>
      <c r="AP73" s="858"/>
      <c r="AQ73" s="858"/>
      <c r="AR73" s="858"/>
      <c r="AS73" s="858"/>
      <c r="AT73" s="858"/>
      <c r="AU73" s="858"/>
      <c r="AV73" s="858"/>
      <c r="AW73" s="858"/>
      <c r="AX73" s="280"/>
      <c r="AY73" s="280"/>
    </row>
    <row r="74" spans="1:51" ht="14.75" x14ac:dyDescent="0.75">
      <c r="A74" s="442"/>
      <c r="B74" s="442"/>
      <c r="C74" s="442"/>
      <c r="D74" s="442"/>
      <c r="E74" s="442"/>
      <c r="F74" s="442"/>
      <c r="G74" s="442"/>
      <c r="H74" s="442"/>
      <c r="I74" s="442"/>
      <c r="J74" s="442"/>
      <c r="K74" s="442"/>
      <c r="L74" s="757"/>
      <c r="M74" s="442"/>
      <c r="N74" s="442"/>
      <c r="O74" s="442"/>
      <c r="P74" s="441"/>
      <c r="Q74" s="441"/>
      <c r="R74" s="280"/>
      <c r="S74" s="501"/>
      <c r="T74" s="280"/>
      <c r="U74" s="280"/>
      <c r="V74" s="280"/>
      <c r="W74" s="280"/>
      <c r="X74" s="858"/>
      <c r="Y74" s="858"/>
      <c r="Z74" s="858"/>
      <c r="AA74" s="858"/>
      <c r="AB74" s="858"/>
      <c r="AC74" s="858"/>
      <c r="AD74" s="858"/>
      <c r="AE74" s="858"/>
      <c r="AF74" s="858"/>
      <c r="AG74" s="858"/>
      <c r="AH74" s="858"/>
      <c r="AI74" s="858"/>
      <c r="AJ74" s="858"/>
      <c r="AK74" s="858"/>
      <c r="AL74" s="858"/>
      <c r="AM74" s="858"/>
      <c r="AN74" s="858"/>
      <c r="AO74" s="858"/>
      <c r="AP74" s="858"/>
      <c r="AQ74" s="858"/>
      <c r="AR74" s="858"/>
      <c r="AS74" s="858"/>
      <c r="AT74" s="858"/>
      <c r="AU74" s="858"/>
      <c r="AV74" s="858"/>
      <c r="AW74" s="858"/>
      <c r="AX74" s="280"/>
      <c r="AY74" s="280"/>
    </row>
    <row r="75" spans="1:51" ht="14.75" x14ac:dyDescent="0.75">
      <c r="A75" s="442"/>
      <c r="B75" s="442"/>
      <c r="C75" s="442"/>
      <c r="D75" s="442"/>
      <c r="E75" s="442"/>
      <c r="F75" s="442"/>
      <c r="G75" s="442"/>
      <c r="H75" s="442"/>
      <c r="I75" s="442"/>
      <c r="J75" s="442"/>
      <c r="K75" s="442"/>
      <c r="L75" s="757"/>
      <c r="M75" s="442"/>
      <c r="N75" s="442"/>
      <c r="O75" s="442"/>
      <c r="P75" s="441"/>
      <c r="Q75" s="441"/>
      <c r="R75" s="280"/>
      <c r="S75" s="501"/>
      <c r="T75" s="280"/>
      <c r="U75" s="280"/>
      <c r="V75" s="280"/>
      <c r="W75" s="280"/>
      <c r="X75" s="858"/>
      <c r="Y75" s="858"/>
      <c r="Z75" s="858"/>
      <c r="AA75" s="858"/>
      <c r="AB75" s="858"/>
      <c r="AC75" s="858"/>
      <c r="AD75" s="858"/>
      <c r="AE75" s="858"/>
      <c r="AF75" s="858"/>
      <c r="AG75" s="858"/>
      <c r="AH75" s="858"/>
      <c r="AI75" s="858"/>
      <c r="AJ75" s="858"/>
      <c r="AK75" s="858"/>
      <c r="AL75" s="858"/>
      <c r="AM75" s="858"/>
      <c r="AN75" s="858"/>
      <c r="AO75" s="858"/>
      <c r="AP75" s="858"/>
      <c r="AQ75" s="858"/>
      <c r="AR75" s="858"/>
      <c r="AS75" s="858"/>
      <c r="AT75" s="858"/>
      <c r="AU75" s="858"/>
      <c r="AV75" s="858"/>
      <c r="AW75" s="858"/>
      <c r="AX75" s="280"/>
      <c r="AY75" s="280"/>
    </row>
    <row r="76" spans="1:51" ht="14.75" x14ac:dyDescent="0.75">
      <c r="A76" s="442"/>
      <c r="B76" s="442"/>
      <c r="C76" s="442"/>
      <c r="D76" s="442"/>
      <c r="E76" s="442"/>
      <c r="F76" s="442"/>
      <c r="G76" s="442"/>
      <c r="H76" s="442"/>
      <c r="I76" s="442"/>
      <c r="J76" s="442"/>
      <c r="K76" s="442"/>
      <c r="L76" s="757"/>
      <c r="M76" s="442"/>
      <c r="N76" s="442"/>
      <c r="O76" s="442"/>
      <c r="P76" s="441"/>
      <c r="Q76" s="441"/>
      <c r="R76" s="280"/>
      <c r="S76" s="501"/>
      <c r="T76" s="280"/>
      <c r="U76" s="280"/>
      <c r="V76" s="280"/>
      <c r="W76" s="280"/>
      <c r="X76" s="858"/>
      <c r="Y76" s="858"/>
      <c r="Z76" s="858"/>
      <c r="AA76" s="858"/>
      <c r="AB76" s="858"/>
      <c r="AC76" s="858"/>
      <c r="AD76" s="858"/>
      <c r="AE76" s="858"/>
      <c r="AF76" s="858"/>
      <c r="AG76" s="858"/>
      <c r="AH76" s="858"/>
      <c r="AI76" s="858"/>
      <c r="AJ76" s="858"/>
      <c r="AK76" s="858"/>
      <c r="AL76" s="858"/>
      <c r="AM76" s="858"/>
      <c r="AN76" s="858"/>
      <c r="AO76" s="858"/>
      <c r="AP76" s="858"/>
      <c r="AQ76" s="858"/>
      <c r="AR76" s="858"/>
      <c r="AS76" s="858"/>
      <c r="AT76" s="858"/>
      <c r="AU76" s="858"/>
      <c r="AV76" s="858"/>
      <c r="AW76" s="858"/>
      <c r="AX76" s="280"/>
      <c r="AY76" s="280"/>
    </row>
    <row r="77" spans="1:51" ht="14.75" x14ac:dyDescent="0.75">
      <c r="A77" s="442"/>
      <c r="B77" s="442"/>
      <c r="C77" s="442"/>
      <c r="D77" s="442"/>
      <c r="E77" s="442"/>
      <c r="F77" s="442"/>
      <c r="G77" s="442"/>
      <c r="H77" s="442"/>
      <c r="I77" s="442"/>
      <c r="J77" s="442"/>
      <c r="K77" s="442"/>
      <c r="L77" s="757"/>
      <c r="M77" s="442"/>
      <c r="N77" s="442"/>
      <c r="O77" s="442"/>
      <c r="P77" s="441"/>
      <c r="Q77" s="441"/>
      <c r="R77" s="280"/>
      <c r="S77" s="501"/>
      <c r="T77" s="280"/>
      <c r="U77" s="280"/>
      <c r="V77" s="280"/>
      <c r="W77" s="280"/>
      <c r="X77" s="858"/>
      <c r="Y77" s="858"/>
      <c r="Z77" s="858"/>
      <c r="AA77" s="858"/>
      <c r="AB77" s="858"/>
      <c r="AC77" s="858"/>
      <c r="AD77" s="858"/>
      <c r="AE77" s="858"/>
      <c r="AF77" s="858"/>
      <c r="AG77" s="858"/>
      <c r="AH77" s="858"/>
      <c r="AI77" s="858"/>
      <c r="AJ77" s="858"/>
      <c r="AK77" s="858"/>
      <c r="AL77" s="858"/>
      <c r="AM77" s="858"/>
      <c r="AN77" s="858"/>
      <c r="AO77" s="858"/>
      <c r="AP77" s="858"/>
      <c r="AQ77" s="858"/>
      <c r="AR77" s="858"/>
      <c r="AS77" s="858"/>
      <c r="AT77" s="858"/>
      <c r="AU77" s="858"/>
      <c r="AV77" s="858"/>
      <c r="AW77" s="858"/>
      <c r="AX77" s="280"/>
      <c r="AY77" s="280"/>
    </row>
    <row r="78" spans="1:51" ht="14.75" x14ac:dyDescent="0.75">
      <c r="A78" s="442"/>
      <c r="B78" s="442"/>
      <c r="C78" s="442"/>
      <c r="D78" s="442"/>
      <c r="E78" s="442"/>
      <c r="F78" s="442"/>
      <c r="G78" s="442"/>
      <c r="H78" s="442"/>
      <c r="I78" s="442"/>
      <c r="J78" s="442"/>
      <c r="K78" s="442"/>
      <c r="L78" s="757"/>
      <c r="M78" s="442"/>
      <c r="N78" s="442"/>
      <c r="O78" s="442"/>
      <c r="P78" s="441"/>
      <c r="Q78" s="441"/>
      <c r="R78" s="280"/>
      <c r="S78" s="501"/>
      <c r="T78" s="280"/>
      <c r="U78" s="280"/>
      <c r="V78" s="280"/>
      <c r="W78" s="280"/>
      <c r="X78" s="858"/>
      <c r="Y78" s="858"/>
      <c r="Z78" s="858"/>
      <c r="AA78" s="858"/>
      <c r="AB78" s="858"/>
      <c r="AC78" s="858"/>
      <c r="AD78" s="858"/>
      <c r="AE78" s="858"/>
      <c r="AF78" s="858"/>
      <c r="AG78" s="858"/>
      <c r="AH78" s="858"/>
      <c r="AI78" s="858"/>
      <c r="AJ78" s="858"/>
      <c r="AK78" s="858"/>
      <c r="AL78" s="858"/>
      <c r="AM78" s="858"/>
      <c r="AN78" s="858"/>
      <c r="AO78" s="858"/>
      <c r="AP78" s="858"/>
      <c r="AQ78" s="858"/>
      <c r="AR78" s="858"/>
      <c r="AS78" s="858"/>
      <c r="AT78" s="858"/>
      <c r="AU78" s="858"/>
      <c r="AV78" s="858"/>
      <c r="AW78" s="858"/>
      <c r="AX78" s="280"/>
      <c r="AY78" s="280"/>
    </row>
    <row r="79" spans="1:51" ht="14.75" x14ac:dyDescent="0.75">
      <c r="A79" s="442"/>
      <c r="B79" s="442"/>
      <c r="C79" s="442"/>
      <c r="D79" s="442"/>
      <c r="E79" s="442"/>
      <c r="F79" s="442"/>
      <c r="G79" s="442"/>
      <c r="H79" s="442"/>
      <c r="I79" s="442"/>
      <c r="J79" s="442"/>
      <c r="K79" s="442"/>
      <c r="L79" s="757"/>
      <c r="M79" s="442"/>
      <c r="N79" s="442"/>
      <c r="O79" s="442"/>
      <c r="P79" s="441"/>
      <c r="Q79" s="441"/>
      <c r="R79" s="280"/>
      <c r="S79" s="501"/>
      <c r="T79" s="280"/>
      <c r="U79" s="280"/>
      <c r="V79" s="280"/>
      <c r="W79" s="280"/>
      <c r="X79" s="858"/>
      <c r="Y79" s="858"/>
      <c r="Z79" s="858"/>
      <c r="AA79" s="858"/>
      <c r="AB79" s="858"/>
      <c r="AC79" s="858"/>
      <c r="AD79" s="858"/>
      <c r="AE79" s="858"/>
      <c r="AF79" s="858"/>
      <c r="AG79" s="858"/>
      <c r="AH79" s="858"/>
      <c r="AI79" s="858"/>
      <c r="AJ79" s="858"/>
      <c r="AK79" s="858"/>
      <c r="AL79" s="858"/>
      <c r="AM79" s="858"/>
      <c r="AN79" s="858"/>
      <c r="AO79" s="858"/>
      <c r="AP79" s="858"/>
      <c r="AQ79" s="858"/>
      <c r="AR79" s="858"/>
      <c r="AS79" s="858"/>
      <c r="AT79" s="858"/>
      <c r="AU79" s="858"/>
      <c r="AV79" s="858"/>
      <c r="AW79" s="858"/>
      <c r="AX79" s="280"/>
      <c r="AY79" s="280"/>
    </row>
    <row r="80" spans="1:51" ht="14.75" x14ac:dyDescent="0.75">
      <c r="A80" s="442"/>
      <c r="B80" s="442"/>
      <c r="C80" s="442"/>
      <c r="D80" s="442"/>
      <c r="E80" s="442"/>
      <c r="F80" s="442"/>
      <c r="G80" s="442"/>
      <c r="H80" s="442"/>
      <c r="I80" s="442"/>
      <c r="J80" s="442"/>
      <c r="K80" s="442"/>
      <c r="L80" s="757"/>
      <c r="M80" s="442"/>
      <c r="N80" s="442"/>
      <c r="O80" s="442"/>
      <c r="P80" s="441"/>
      <c r="Q80" s="441"/>
      <c r="R80" s="280"/>
      <c r="S80" s="501"/>
      <c r="T80" s="280"/>
      <c r="U80" s="280"/>
      <c r="V80" s="280"/>
      <c r="W80" s="280"/>
      <c r="X80" s="858"/>
      <c r="Y80" s="858"/>
      <c r="Z80" s="858"/>
      <c r="AA80" s="858"/>
      <c r="AB80" s="858"/>
      <c r="AC80" s="858"/>
      <c r="AD80" s="858"/>
      <c r="AE80" s="858"/>
      <c r="AF80" s="858"/>
      <c r="AG80" s="858"/>
      <c r="AH80" s="858"/>
      <c r="AI80" s="858"/>
      <c r="AJ80" s="858"/>
      <c r="AK80" s="858"/>
      <c r="AL80" s="858"/>
      <c r="AM80" s="858"/>
      <c r="AN80" s="858"/>
      <c r="AO80" s="858"/>
      <c r="AP80" s="858"/>
      <c r="AQ80" s="858"/>
      <c r="AR80" s="858"/>
      <c r="AS80" s="858"/>
      <c r="AT80" s="858"/>
      <c r="AU80" s="858"/>
      <c r="AV80" s="858"/>
      <c r="AW80" s="858"/>
      <c r="AX80" s="280"/>
      <c r="AY80" s="280"/>
    </row>
    <row r="81" spans="1:51" ht="14.75" x14ac:dyDescent="0.75">
      <c r="A81" s="442"/>
      <c r="B81" s="442"/>
      <c r="C81" s="442"/>
      <c r="D81" s="442"/>
      <c r="E81" s="442"/>
      <c r="F81" s="442"/>
      <c r="G81" s="442"/>
      <c r="H81" s="442"/>
      <c r="I81" s="442"/>
      <c r="J81" s="442"/>
      <c r="K81" s="442"/>
      <c r="L81" s="757"/>
      <c r="M81" s="442"/>
      <c r="N81" s="442"/>
      <c r="O81" s="442"/>
      <c r="P81" s="441"/>
      <c r="Q81" s="441"/>
      <c r="R81" s="280"/>
      <c r="S81" s="501"/>
      <c r="T81" s="280"/>
      <c r="U81" s="280"/>
      <c r="V81" s="280"/>
      <c r="W81" s="280"/>
      <c r="X81" s="858"/>
      <c r="Y81" s="858"/>
      <c r="Z81" s="858"/>
      <c r="AA81" s="858"/>
      <c r="AB81" s="858"/>
      <c r="AC81" s="858"/>
      <c r="AD81" s="858"/>
      <c r="AE81" s="858"/>
      <c r="AF81" s="858"/>
      <c r="AG81" s="858"/>
      <c r="AH81" s="858"/>
      <c r="AI81" s="858"/>
      <c r="AJ81" s="858"/>
      <c r="AK81" s="858"/>
      <c r="AL81" s="858"/>
      <c r="AM81" s="858"/>
      <c r="AN81" s="858"/>
      <c r="AO81" s="858"/>
      <c r="AP81" s="858"/>
      <c r="AQ81" s="858"/>
      <c r="AR81" s="858"/>
      <c r="AS81" s="858"/>
      <c r="AT81" s="858"/>
      <c r="AU81" s="858"/>
      <c r="AV81" s="858"/>
      <c r="AW81" s="858"/>
      <c r="AX81" s="280"/>
      <c r="AY81" s="280"/>
    </row>
    <row r="82" spans="1:51" ht="14.75" x14ac:dyDescent="0.75">
      <c r="A82" s="442"/>
      <c r="B82" s="442"/>
      <c r="C82" s="442"/>
      <c r="D82" s="442"/>
      <c r="E82" s="442"/>
      <c r="F82" s="442"/>
      <c r="G82" s="442"/>
      <c r="H82" s="442"/>
      <c r="I82" s="442"/>
      <c r="J82" s="442"/>
      <c r="K82" s="442"/>
      <c r="L82" s="757"/>
      <c r="M82" s="442"/>
      <c r="N82" s="442"/>
      <c r="O82" s="442"/>
      <c r="P82" s="441"/>
      <c r="Q82" s="441"/>
      <c r="R82" s="280"/>
      <c r="S82" s="501"/>
      <c r="T82" s="280"/>
      <c r="U82" s="280"/>
      <c r="V82" s="280"/>
      <c r="W82" s="280"/>
      <c r="X82" s="858"/>
      <c r="Y82" s="858"/>
      <c r="Z82" s="858"/>
      <c r="AA82" s="858"/>
      <c r="AB82" s="858"/>
      <c r="AC82" s="858"/>
      <c r="AD82" s="858"/>
      <c r="AE82" s="858"/>
      <c r="AF82" s="858"/>
      <c r="AG82" s="858"/>
      <c r="AH82" s="858"/>
      <c r="AI82" s="858"/>
      <c r="AJ82" s="858"/>
      <c r="AK82" s="858"/>
      <c r="AL82" s="858"/>
      <c r="AM82" s="858"/>
      <c r="AN82" s="858"/>
      <c r="AO82" s="858"/>
      <c r="AP82" s="858"/>
      <c r="AQ82" s="858"/>
      <c r="AR82" s="858"/>
      <c r="AS82" s="858"/>
      <c r="AT82" s="858"/>
      <c r="AU82" s="858"/>
      <c r="AV82" s="858"/>
      <c r="AW82" s="858"/>
      <c r="AX82" s="280"/>
      <c r="AY82" s="280"/>
    </row>
    <row r="83" spans="1:51" ht="14.75" x14ac:dyDescent="0.75">
      <c r="A83" s="442"/>
      <c r="B83" s="442"/>
      <c r="C83" s="442"/>
      <c r="D83" s="442"/>
      <c r="E83" s="442"/>
      <c r="F83" s="442"/>
      <c r="G83" s="442"/>
      <c r="H83" s="442"/>
      <c r="I83" s="442"/>
      <c r="J83" s="442"/>
      <c r="K83" s="442"/>
      <c r="L83" s="757"/>
      <c r="M83" s="442"/>
      <c r="N83" s="442"/>
      <c r="O83" s="442"/>
      <c r="P83" s="441"/>
      <c r="Q83" s="441"/>
      <c r="R83" s="280"/>
      <c r="S83" s="501"/>
      <c r="T83" s="280"/>
      <c r="U83" s="280"/>
      <c r="V83" s="280"/>
      <c r="W83" s="280"/>
      <c r="X83" s="858"/>
      <c r="Y83" s="858"/>
      <c r="Z83" s="858"/>
      <c r="AA83" s="858"/>
      <c r="AB83" s="858"/>
      <c r="AC83" s="858"/>
      <c r="AD83" s="858"/>
      <c r="AE83" s="858"/>
      <c r="AF83" s="858"/>
      <c r="AG83" s="858"/>
      <c r="AH83" s="858"/>
      <c r="AI83" s="858"/>
      <c r="AJ83" s="858"/>
      <c r="AK83" s="858"/>
      <c r="AL83" s="858"/>
      <c r="AM83" s="858"/>
      <c r="AN83" s="858"/>
      <c r="AO83" s="858"/>
      <c r="AP83" s="858"/>
      <c r="AQ83" s="858"/>
      <c r="AR83" s="858"/>
      <c r="AS83" s="858"/>
      <c r="AT83" s="858"/>
      <c r="AU83" s="858"/>
      <c r="AV83" s="858"/>
      <c r="AW83" s="858"/>
      <c r="AX83" s="280"/>
      <c r="AY83" s="280"/>
    </row>
    <row r="84" spans="1:51" ht="14.75" x14ac:dyDescent="0.75">
      <c r="A84" s="442"/>
      <c r="B84" s="442"/>
      <c r="C84" s="442"/>
      <c r="D84" s="442"/>
      <c r="E84" s="442"/>
      <c r="F84" s="442"/>
      <c r="G84" s="442"/>
      <c r="H84" s="442"/>
      <c r="I84" s="442"/>
      <c r="J84" s="442"/>
      <c r="K84" s="442"/>
      <c r="L84" s="757"/>
      <c r="M84" s="442"/>
      <c r="N84" s="442"/>
      <c r="O84" s="442"/>
      <c r="P84" s="441"/>
      <c r="Q84" s="441"/>
      <c r="R84" s="280"/>
      <c r="S84" s="501"/>
      <c r="T84" s="280"/>
      <c r="U84" s="280"/>
      <c r="V84" s="280"/>
      <c r="W84" s="280"/>
      <c r="X84" s="858"/>
      <c r="Y84" s="858"/>
      <c r="Z84" s="858"/>
      <c r="AA84" s="858"/>
      <c r="AB84" s="858"/>
      <c r="AC84" s="858"/>
      <c r="AD84" s="858"/>
      <c r="AE84" s="858"/>
      <c r="AF84" s="858"/>
      <c r="AG84" s="858"/>
      <c r="AH84" s="858"/>
      <c r="AI84" s="858"/>
      <c r="AJ84" s="858"/>
      <c r="AK84" s="858"/>
      <c r="AL84" s="858"/>
      <c r="AM84" s="858"/>
      <c r="AN84" s="858"/>
      <c r="AO84" s="858"/>
      <c r="AP84" s="858"/>
      <c r="AQ84" s="858"/>
      <c r="AR84" s="858"/>
      <c r="AS84" s="858"/>
      <c r="AT84" s="858"/>
      <c r="AU84" s="858"/>
      <c r="AV84" s="858"/>
      <c r="AW84" s="858"/>
      <c r="AX84" s="280"/>
      <c r="AY84" s="280"/>
    </row>
    <row r="85" spans="1:51" ht="14.75" x14ac:dyDescent="0.75">
      <c r="A85" s="442"/>
      <c r="B85" s="442"/>
      <c r="C85" s="442"/>
      <c r="D85" s="442"/>
      <c r="E85" s="442"/>
      <c r="F85" s="442"/>
      <c r="G85" s="442"/>
      <c r="H85" s="442"/>
      <c r="I85" s="442"/>
      <c r="J85" s="442"/>
      <c r="K85" s="442"/>
      <c r="L85" s="757"/>
      <c r="M85" s="442"/>
      <c r="N85" s="442"/>
      <c r="O85" s="442"/>
      <c r="P85" s="441"/>
      <c r="Q85" s="441"/>
      <c r="R85" s="280"/>
      <c r="S85" s="501"/>
      <c r="T85" s="280"/>
      <c r="U85" s="280"/>
      <c r="V85" s="280"/>
      <c r="W85" s="280"/>
      <c r="X85" s="858"/>
      <c r="Y85" s="858"/>
      <c r="Z85" s="858"/>
      <c r="AA85" s="858"/>
      <c r="AB85" s="858"/>
      <c r="AC85" s="858"/>
      <c r="AD85" s="858"/>
      <c r="AE85" s="858"/>
      <c r="AF85" s="858"/>
      <c r="AG85" s="858"/>
      <c r="AH85" s="858"/>
      <c r="AI85" s="858"/>
      <c r="AJ85" s="858"/>
      <c r="AK85" s="858"/>
      <c r="AL85" s="858"/>
      <c r="AM85" s="858"/>
      <c r="AN85" s="858"/>
      <c r="AO85" s="858"/>
      <c r="AP85" s="858"/>
      <c r="AQ85" s="858"/>
      <c r="AR85" s="858"/>
      <c r="AS85" s="858"/>
      <c r="AT85" s="858"/>
      <c r="AU85" s="858"/>
      <c r="AV85" s="858"/>
      <c r="AW85" s="858"/>
      <c r="AX85" s="280"/>
      <c r="AY85" s="280"/>
    </row>
    <row r="86" spans="1:51" ht="14.75" x14ac:dyDescent="0.75">
      <c r="A86" s="442"/>
      <c r="B86" s="442"/>
      <c r="C86" s="442"/>
      <c r="D86" s="442"/>
      <c r="E86" s="442"/>
      <c r="F86" s="442"/>
      <c r="G86" s="442"/>
      <c r="H86" s="442"/>
      <c r="I86" s="442"/>
      <c r="J86" s="442"/>
      <c r="K86" s="442"/>
      <c r="L86" s="757"/>
      <c r="M86" s="442"/>
      <c r="N86" s="442"/>
      <c r="O86" s="442"/>
      <c r="P86" s="441"/>
      <c r="Q86" s="441"/>
      <c r="R86" s="280"/>
      <c r="S86" s="501"/>
      <c r="T86" s="280"/>
      <c r="U86" s="280"/>
      <c r="V86" s="280"/>
      <c r="W86" s="280"/>
      <c r="X86" s="858"/>
      <c r="Y86" s="858"/>
      <c r="Z86" s="858"/>
      <c r="AA86" s="858"/>
      <c r="AB86" s="858"/>
      <c r="AC86" s="858"/>
      <c r="AD86" s="858"/>
      <c r="AE86" s="858"/>
      <c r="AF86" s="858"/>
      <c r="AG86" s="858"/>
      <c r="AH86" s="858"/>
      <c r="AI86" s="858"/>
      <c r="AJ86" s="858"/>
      <c r="AK86" s="858"/>
      <c r="AL86" s="858"/>
      <c r="AM86" s="858"/>
      <c r="AN86" s="858"/>
      <c r="AO86" s="858"/>
      <c r="AP86" s="858"/>
      <c r="AQ86" s="858"/>
      <c r="AR86" s="858"/>
      <c r="AS86" s="858"/>
      <c r="AT86" s="858"/>
      <c r="AU86" s="858"/>
      <c r="AV86" s="858"/>
      <c r="AW86" s="858"/>
      <c r="AX86" s="280"/>
      <c r="AY86" s="280"/>
    </row>
    <row r="87" spans="1:51" ht="14.75" x14ac:dyDescent="0.75">
      <c r="A87" s="442"/>
      <c r="B87" s="442"/>
      <c r="C87" s="442"/>
      <c r="D87" s="442"/>
      <c r="E87" s="442"/>
      <c r="F87" s="442"/>
      <c r="G87" s="442"/>
      <c r="H87" s="442"/>
      <c r="I87" s="442"/>
      <c r="J87" s="442"/>
      <c r="K87" s="442"/>
      <c r="L87" s="757"/>
      <c r="M87" s="442"/>
      <c r="N87" s="442"/>
      <c r="O87" s="442"/>
      <c r="P87" s="441"/>
      <c r="Q87" s="441"/>
      <c r="R87" s="280"/>
      <c r="S87" s="501"/>
      <c r="T87" s="280"/>
      <c r="U87" s="280"/>
      <c r="V87" s="280"/>
      <c r="W87" s="280"/>
      <c r="X87" s="858"/>
      <c r="Y87" s="858"/>
      <c r="Z87" s="858"/>
      <c r="AA87" s="858"/>
      <c r="AB87" s="858"/>
      <c r="AC87" s="858"/>
      <c r="AD87" s="858"/>
      <c r="AE87" s="858"/>
      <c r="AF87" s="858"/>
      <c r="AG87" s="858"/>
      <c r="AH87" s="858"/>
      <c r="AI87" s="858"/>
      <c r="AJ87" s="858"/>
      <c r="AK87" s="858"/>
      <c r="AL87" s="858"/>
      <c r="AM87" s="858"/>
      <c r="AN87" s="858"/>
      <c r="AO87" s="858"/>
      <c r="AP87" s="858"/>
      <c r="AQ87" s="858"/>
      <c r="AR87" s="858"/>
      <c r="AS87" s="858"/>
      <c r="AT87" s="858"/>
      <c r="AU87" s="858"/>
      <c r="AV87" s="858"/>
      <c r="AW87" s="858"/>
      <c r="AX87" s="280"/>
      <c r="AY87" s="280"/>
    </row>
    <row r="88" spans="1:51" ht="14.75" x14ac:dyDescent="0.75">
      <c r="A88" s="442"/>
      <c r="B88" s="442"/>
      <c r="C88" s="442"/>
      <c r="D88" s="442"/>
      <c r="E88" s="442"/>
      <c r="F88" s="442"/>
      <c r="G88" s="442"/>
      <c r="H88" s="442"/>
      <c r="I88" s="442"/>
      <c r="J88" s="442"/>
      <c r="K88" s="442"/>
      <c r="L88" s="757"/>
      <c r="M88" s="442"/>
      <c r="N88" s="442"/>
      <c r="O88" s="442"/>
      <c r="P88" s="441"/>
      <c r="Q88" s="441"/>
      <c r="R88" s="280"/>
      <c r="S88" s="501"/>
      <c r="T88" s="280"/>
      <c r="U88" s="280"/>
      <c r="V88" s="280"/>
      <c r="W88" s="280"/>
      <c r="X88" s="858"/>
      <c r="Y88" s="858"/>
      <c r="Z88" s="858"/>
      <c r="AA88" s="858"/>
      <c r="AB88" s="858"/>
      <c r="AC88" s="858"/>
      <c r="AD88" s="858"/>
      <c r="AE88" s="858"/>
      <c r="AF88" s="858"/>
      <c r="AG88" s="858"/>
      <c r="AH88" s="858"/>
      <c r="AI88" s="858"/>
      <c r="AJ88" s="858"/>
      <c r="AK88" s="858"/>
      <c r="AL88" s="858"/>
      <c r="AM88" s="858"/>
      <c r="AN88" s="858"/>
      <c r="AO88" s="858"/>
      <c r="AP88" s="858"/>
      <c r="AQ88" s="858"/>
      <c r="AR88" s="858"/>
      <c r="AS88" s="858"/>
      <c r="AT88" s="858"/>
      <c r="AU88" s="858"/>
      <c r="AV88" s="858"/>
      <c r="AW88" s="858"/>
      <c r="AX88" s="280"/>
      <c r="AY88" s="280"/>
    </row>
    <row r="89" spans="1:51" ht="14.75" x14ac:dyDescent="0.75">
      <c r="A89" s="442"/>
      <c r="B89" s="442"/>
      <c r="C89" s="442"/>
      <c r="D89" s="442"/>
      <c r="E89" s="442"/>
      <c r="F89" s="442"/>
      <c r="G89" s="442"/>
      <c r="H89" s="442"/>
      <c r="I89" s="442"/>
      <c r="J89" s="442"/>
      <c r="K89" s="442"/>
      <c r="L89" s="757"/>
      <c r="M89" s="442"/>
      <c r="N89" s="442"/>
      <c r="O89" s="442"/>
      <c r="P89" s="441"/>
      <c r="Q89" s="441"/>
      <c r="R89" s="280"/>
      <c r="S89" s="501"/>
      <c r="T89" s="280"/>
      <c r="U89" s="280"/>
      <c r="V89" s="280"/>
      <c r="W89" s="280"/>
      <c r="X89" s="858"/>
      <c r="Y89" s="858"/>
      <c r="Z89" s="858"/>
      <c r="AA89" s="858"/>
      <c r="AB89" s="858"/>
      <c r="AC89" s="858"/>
      <c r="AD89" s="858"/>
      <c r="AE89" s="858"/>
      <c r="AF89" s="858"/>
      <c r="AG89" s="858"/>
      <c r="AH89" s="858"/>
      <c r="AI89" s="858"/>
      <c r="AJ89" s="858"/>
      <c r="AK89" s="858"/>
      <c r="AL89" s="858"/>
      <c r="AM89" s="858"/>
      <c r="AN89" s="858"/>
      <c r="AO89" s="858"/>
      <c r="AP89" s="858"/>
      <c r="AQ89" s="858"/>
      <c r="AR89" s="858"/>
      <c r="AS89" s="858"/>
      <c r="AT89" s="858"/>
      <c r="AU89" s="858"/>
      <c r="AV89" s="858"/>
      <c r="AW89" s="858"/>
      <c r="AX89" s="280"/>
      <c r="AY89" s="280"/>
    </row>
    <row r="90" spans="1:51" ht="14.75" x14ac:dyDescent="0.75">
      <c r="A90" s="442"/>
      <c r="B90" s="442"/>
      <c r="C90" s="442"/>
      <c r="D90" s="442"/>
      <c r="E90" s="442"/>
      <c r="F90" s="442"/>
      <c r="G90" s="442"/>
      <c r="H90" s="442"/>
      <c r="I90" s="442"/>
      <c r="J90" s="442"/>
      <c r="K90" s="442"/>
      <c r="L90" s="757"/>
      <c r="M90" s="442"/>
      <c r="N90" s="442"/>
      <c r="O90" s="442"/>
      <c r="P90" s="441"/>
      <c r="Q90" s="441"/>
      <c r="R90" s="280"/>
      <c r="S90" s="501"/>
      <c r="T90" s="280"/>
      <c r="U90" s="280"/>
      <c r="V90" s="280"/>
      <c r="W90" s="280"/>
      <c r="X90" s="858"/>
      <c r="Y90" s="858"/>
      <c r="Z90" s="858"/>
      <c r="AA90" s="858"/>
      <c r="AB90" s="858"/>
      <c r="AC90" s="858"/>
      <c r="AD90" s="858"/>
      <c r="AE90" s="858"/>
      <c r="AF90" s="858"/>
      <c r="AG90" s="858"/>
      <c r="AH90" s="858"/>
      <c r="AI90" s="858"/>
      <c r="AJ90" s="858"/>
      <c r="AK90" s="858"/>
      <c r="AL90" s="858"/>
      <c r="AM90" s="858"/>
      <c r="AN90" s="858"/>
      <c r="AO90" s="858"/>
      <c r="AP90" s="858"/>
      <c r="AQ90" s="858"/>
      <c r="AR90" s="858"/>
      <c r="AS90" s="858"/>
      <c r="AT90" s="858"/>
      <c r="AU90" s="858"/>
      <c r="AV90" s="858"/>
      <c r="AW90" s="858"/>
      <c r="AX90" s="280"/>
      <c r="AY90" s="280"/>
    </row>
    <row r="91" spans="1:51" ht="14.75" x14ac:dyDescent="0.75">
      <c r="A91" s="442"/>
      <c r="B91" s="442"/>
      <c r="C91" s="442"/>
      <c r="D91" s="442"/>
      <c r="E91" s="442"/>
      <c r="F91" s="442"/>
      <c r="G91" s="442"/>
      <c r="H91" s="442"/>
      <c r="I91" s="442"/>
      <c r="J91" s="442"/>
      <c r="K91" s="442"/>
      <c r="L91" s="757"/>
      <c r="M91" s="442"/>
      <c r="N91" s="442"/>
      <c r="O91" s="442"/>
      <c r="P91" s="441"/>
      <c r="Q91" s="441"/>
      <c r="R91" s="280"/>
      <c r="S91" s="501"/>
      <c r="T91" s="280"/>
      <c r="U91" s="280"/>
      <c r="V91" s="280"/>
      <c r="W91" s="280"/>
      <c r="X91" s="858"/>
      <c r="Y91" s="858"/>
      <c r="Z91" s="858"/>
      <c r="AA91" s="858"/>
      <c r="AB91" s="858"/>
      <c r="AC91" s="858"/>
      <c r="AD91" s="858"/>
      <c r="AE91" s="858"/>
      <c r="AF91" s="858"/>
      <c r="AG91" s="858"/>
      <c r="AH91" s="858"/>
      <c r="AI91" s="858"/>
      <c r="AJ91" s="858"/>
      <c r="AK91" s="858"/>
      <c r="AL91" s="858"/>
      <c r="AM91" s="858"/>
      <c r="AN91" s="858"/>
      <c r="AO91" s="858"/>
      <c r="AP91" s="858"/>
      <c r="AQ91" s="858"/>
      <c r="AR91" s="858"/>
      <c r="AS91" s="858"/>
      <c r="AT91" s="858"/>
      <c r="AU91" s="858"/>
      <c r="AV91" s="858"/>
      <c r="AW91" s="858"/>
      <c r="AX91" s="280"/>
      <c r="AY91" s="280"/>
    </row>
    <row r="92" spans="1:51" ht="14.75" x14ac:dyDescent="0.75">
      <c r="A92" s="442"/>
      <c r="B92" s="442"/>
      <c r="C92" s="442"/>
      <c r="D92" s="442"/>
      <c r="E92" s="442"/>
      <c r="F92" s="442"/>
      <c r="G92" s="442"/>
      <c r="H92" s="442"/>
      <c r="I92" s="442"/>
      <c r="J92" s="442"/>
      <c r="K92" s="442"/>
      <c r="L92" s="757"/>
      <c r="M92" s="442"/>
      <c r="N92" s="442"/>
      <c r="O92" s="442"/>
      <c r="P92" s="441"/>
      <c r="Q92" s="441"/>
      <c r="R92" s="441"/>
      <c r="S92" s="441"/>
      <c r="T92" s="441"/>
      <c r="U92" s="280"/>
      <c r="V92" s="501"/>
      <c r="W92" s="280"/>
      <c r="X92" s="858"/>
      <c r="Y92" s="858"/>
      <c r="AB92" s="859"/>
      <c r="AC92" s="859"/>
      <c r="AD92" s="859"/>
      <c r="AE92" s="859"/>
      <c r="AF92" s="859"/>
      <c r="AG92" s="859"/>
      <c r="AH92" s="859"/>
      <c r="AI92" s="859"/>
      <c r="AJ92" s="859"/>
      <c r="AK92" s="859"/>
      <c r="AL92" s="859"/>
      <c r="AM92" s="859"/>
      <c r="AN92" s="859"/>
      <c r="AO92" s="859"/>
      <c r="AP92" s="859"/>
      <c r="AQ92" s="859"/>
      <c r="AR92" s="859"/>
      <c r="AS92" s="859"/>
      <c r="AT92" s="859"/>
      <c r="AU92" s="859"/>
      <c r="AV92" s="859"/>
      <c r="AW92" s="859"/>
    </row>
    <row r="93" spans="1:51" ht="14.75" x14ac:dyDescent="0.75">
      <c r="A93" s="442"/>
      <c r="B93" s="442"/>
      <c r="C93" s="442"/>
      <c r="D93" s="442"/>
      <c r="E93" s="442"/>
      <c r="F93" s="442"/>
      <c r="G93" s="442"/>
      <c r="H93" s="442"/>
      <c r="I93" s="442"/>
      <c r="J93" s="442"/>
      <c r="K93" s="442"/>
      <c r="L93" s="757"/>
      <c r="M93" s="442"/>
      <c r="N93" s="442"/>
      <c r="O93" s="442"/>
      <c r="P93" s="441"/>
      <c r="Q93" s="441"/>
      <c r="R93" s="441"/>
      <c r="S93" s="441"/>
      <c r="T93" s="441"/>
      <c r="U93" s="280"/>
      <c r="V93" s="501"/>
      <c r="W93" s="280"/>
      <c r="X93" s="858"/>
      <c r="Y93" s="858"/>
      <c r="AB93" s="859"/>
      <c r="AC93" s="859"/>
      <c r="AD93" s="859"/>
      <c r="AE93" s="859"/>
      <c r="AF93" s="859"/>
      <c r="AG93" s="859"/>
      <c r="AH93" s="859"/>
      <c r="AI93" s="859"/>
      <c r="AJ93" s="859"/>
      <c r="AK93" s="859"/>
      <c r="AL93" s="859"/>
      <c r="AM93" s="859"/>
      <c r="AN93" s="859"/>
      <c r="AO93" s="859"/>
      <c r="AP93" s="859"/>
      <c r="AQ93" s="859"/>
      <c r="AR93" s="859"/>
      <c r="AS93" s="859"/>
      <c r="AT93" s="859"/>
      <c r="AU93" s="859"/>
      <c r="AV93" s="859"/>
      <c r="AW93" s="859"/>
    </row>
    <row r="94" spans="1:51" ht="14.75" x14ac:dyDescent="0.75">
      <c r="A94" s="442"/>
      <c r="B94" s="442"/>
      <c r="C94" s="442"/>
      <c r="D94" s="442"/>
      <c r="E94" s="442"/>
      <c r="F94" s="442"/>
      <c r="G94" s="442"/>
      <c r="H94" s="442"/>
      <c r="I94" s="442"/>
      <c r="J94" s="442"/>
      <c r="K94" s="442"/>
      <c r="L94" s="757"/>
      <c r="M94" s="442"/>
      <c r="N94" s="442"/>
      <c r="O94" s="442"/>
      <c r="P94" s="441"/>
      <c r="Q94" s="441"/>
      <c r="R94" s="441"/>
      <c r="S94" s="441"/>
      <c r="T94" s="441"/>
      <c r="U94" s="280"/>
      <c r="V94" s="501"/>
      <c r="W94" s="280"/>
      <c r="X94" s="858"/>
      <c r="Y94" s="858"/>
      <c r="AB94" s="859"/>
      <c r="AC94" s="859"/>
      <c r="AD94" s="859"/>
      <c r="AE94" s="859"/>
      <c r="AF94" s="859"/>
      <c r="AG94" s="859"/>
      <c r="AH94" s="859"/>
      <c r="AI94" s="859"/>
      <c r="AJ94" s="859"/>
      <c r="AK94" s="859"/>
      <c r="AL94" s="859"/>
      <c r="AM94" s="859"/>
      <c r="AN94" s="859"/>
      <c r="AO94" s="859"/>
      <c r="AP94" s="859"/>
      <c r="AQ94" s="859"/>
      <c r="AR94" s="859"/>
      <c r="AS94" s="859"/>
      <c r="AT94" s="859"/>
      <c r="AU94" s="859"/>
      <c r="AV94" s="859"/>
      <c r="AW94" s="859"/>
    </row>
    <row r="95" spans="1:51" ht="14.75" x14ac:dyDescent="0.75">
      <c r="A95" s="442"/>
      <c r="B95" s="442"/>
      <c r="C95" s="442"/>
      <c r="D95" s="442"/>
      <c r="E95" s="442"/>
      <c r="F95" s="442"/>
      <c r="G95" s="442"/>
      <c r="H95" s="442"/>
      <c r="I95" s="442"/>
      <c r="J95" s="442"/>
      <c r="K95" s="442"/>
      <c r="L95" s="757"/>
      <c r="M95" s="442"/>
      <c r="N95" s="442"/>
      <c r="O95" s="442"/>
      <c r="P95" s="441"/>
      <c r="Q95" s="441"/>
      <c r="R95" s="441"/>
      <c r="S95" s="441"/>
      <c r="T95" s="441"/>
      <c r="U95" s="280"/>
      <c r="V95" s="501"/>
      <c r="W95" s="280"/>
      <c r="X95" s="858"/>
      <c r="Y95" s="858"/>
      <c r="AB95" s="859"/>
      <c r="AC95" s="859"/>
      <c r="AD95" s="859"/>
      <c r="AE95" s="859"/>
      <c r="AF95" s="859"/>
      <c r="AG95" s="859"/>
      <c r="AH95" s="859"/>
      <c r="AI95" s="859"/>
      <c r="AJ95" s="859"/>
      <c r="AK95" s="859"/>
      <c r="AL95" s="859"/>
      <c r="AM95" s="859"/>
      <c r="AN95" s="859"/>
      <c r="AO95" s="859"/>
      <c r="AP95" s="859"/>
      <c r="AQ95" s="859"/>
      <c r="AR95" s="859"/>
      <c r="AS95" s="859"/>
      <c r="AT95" s="859"/>
      <c r="AU95" s="859"/>
      <c r="AV95" s="859"/>
      <c r="AW95" s="859"/>
    </row>
    <row r="96" spans="1:51" ht="14.75" x14ac:dyDescent="0.75">
      <c r="A96" s="442"/>
      <c r="B96" s="442"/>
      <c r="C96" s="442"/>
      <c r="D96" s="442"/>
      <c r="E96" s="442"/>
      <c r="F96" s="442"/>
      <c r="G96" s="442"/>
      <c r="H96" s="442"/>
      <c r="I96" s="442"/>
      <c r="J96" s="442"/>
      <c r="K96" s="442"/>
      <c r="L96" s="757"/>
      <c r="M96" s="442"/>
      <c r="N96" s="442"/>
      <c r="O96" s="442"/>
      <c r="P96" s="441"/>
      <c r="Q96" s="441"/>
      <c r="R96" s="441"/>
      <c r="S96" s="441"/>
      <c r="T96" s="441"/>
      <c r="U96" s="280"/>
      <c r="V96" s="501"/>
      <c r="W96" s="280"/>
      <c r="X96" s="858"/>
      <c r="Y96" s="858"/>
      <c r="AB96" s="859"/>
      <c r="AC96" s="859"/>
      <c r="AD96" s="859"/>
      <c r="AE96" s="859"/>
      <c r="AF96" s="859"/>
      <c r="AG96" s="859"/>
      <c r="AH96" s="859"/>
      <c r="AI96" s="859"/>
      <c r="AJ96" s="859"/>
      <c r="AK96" s="859"/>
      <c r="AL96" s="859"/>
      <c r="AM96" s="859"/>
      <c r="AN96" s="859"/>
      <c r="AO96" s="859"/>
      <c r="AP96" s="859"/>
      <c r="AQ96" s="859"/>
      <c r="AR96" s="859"/>
      <c r="AS96" s="859"/>
      <c r="AT96" s="859"/>
      <c r="AU96" s="859"/>
      <c r="AV96" s="859"/>
      <c r="AW96" s="859"/>
    </row>
    <row r="97" spans="1:49" ht="14.75" x14ac:dyDescent="0.75">
      <c r="A97" s="442"/>
      <c r="B97" s="442"/>
      <c r="C97" s="442"/>
      <c r="D97" s="442"/>
      <c r="E97" s="442"/>
      <c r="F97" s="442"/>
      <c r="G97" s="442"/>
      <c r="H97" s="442"/>
      <c r="I97" s="442"/>
      <c r="J97" s="442"/>
      <c r="K97" s="442"/>
      <c r="L97" s="757"/>
      <c r="M97" s="442"/>
      <c r="N97" s="442"/>
      <c r="O97" s="442"/>
      <c r="P97" s="441"/>
      <c r="Q97" s="441"/>
      <c r="R97" s="441"/>
      <c r="S97" s="441"/>
      <c r="T97" s="441"/>
      <c r="U97" s="280"/>
      <c r="V97" s="501"/>
      <c r="W97" s="280"/>
      <c r="X97" s="858"/>
      <c r="Y97" s="858"/>
      <c r="AB97" s="859"/>
      <c r="AC97" s="859"/>
      <c r="AD97" s="859"/>
      <c r="AE97" s="859"/>
      <c r="AF97" s="859"/>
      <c r="AG97" s="859"/>
      <c r="AH97" s="859"/>
      <c r="AI97" s="859"/>
      <c r="AJ97" s="859"/>
      <c r="AK97" s="859"/>
      <c r="AL97" s="859"/>
      <c r="AM97" s="859"/>
      <c r="AN97" s="859"/>
      <c r="AO97" s="859"/>
      <c r="AP97" s="859"/>
      <c r="AQ97" s="859"/>
      <c r="AR97" s="859"/>
      <c r="AS97" s="859"/>
      <c r="AT97" s="859"/>
      <c r="AU97" s="859"/>
      <c r="AV97" s="859"/>
      <c r="AW97" s="859"/>
    </row>
    <row r="98" spans="1:49" ht="14.75" x14ac:dyDescent="0.75">
      <c r="A98" s="442"/>
      <c r="B98" s="442"/>
      <c r="C98" s="442"/>
      <c r="D98" s="442"/>
      <c r="E98" s="442"/>
      <c r="F98" s="442"/>
      <c r="G98" s="442"/>
      <c r="H98" s="442"/>
      <c r="I98" s="442"/>
      <c r="J98" s="442"/>
      <c r="K98" s="442"/>
      <c r="L98" s="757"/>
      <c r="M98" s="442"/>
      <c r="N98" s="442"/>
      <c r="O98" s="442"/>
      <c r="P98" s="441"/>
      <c r="Q98" s="441"/>
      <c r="R98" s="441"/>
      <c r="S98" s="441"/>
      <c r="T98" s="441"/>
      <c r="U98" s="280"/>
      <c r="V98" s="501"/>
      <c r="W98" s="280"/>
      <c r="X98" s="858"/>
      <c r="Y98" s="858"/>
      <c r="AB98" s="859"/>
      <c r="AC98" s="859"/>
      <c r="AD98" s="859"/>
      <c r="AE98" s="859"/>
      <c r="AF98" s="859"/>
      <c r="AG98" s="859"/>
      <c r="AH98" s="859"/>
      <c r="AI98" s="859"/>
      <c r="AJ98" s="859"/>
      <c r="AK98" s="859"/>
      <c r="AL98" s="859"/>
      <c r="AM98" s="859"/>
      <c r="AN98" s="859"/>
      <c r="AO98" s="859"/>
      <c r="AP98" s="859"/>
      <c r="AQ98" s="859"/>
      <c r="AR98" s="859"/>
      <c r="AS98" s="859"/>
      <c r="AT98" s="859"/>
      <c r="AU98" s="859"/>
      <c r="AV98" s="859"/>
      <c r="AW98" s="859"/>
    </row>
    <row r="99" spans="1:49" ht="14.75" x14ac:dyDescent="0.75">
      <c r="A99" s="442"/>
      <c r="B99" s="442"/>
      <c r="C99" s="442"/>
      <c r="D99" s="442"/>
      <c r="E99" s="442"/>
      <c r="F99" s="442"/>
      <c r="G99" s="442"/>
      <c r="H99" s="442"/>
      <c r="I99" s="442"/>
      <c r="J99" s="442"/>
      <c r="K99" s="442"/>
      <c r="L99" s="757"/>
      <c r="M99" s="442"/>
      <c r="N99" s="442"/>
      <c r="O99" s="442"/>
      <c r="P99" s="441"/>
      <c r="Q99" s="441"/>
      <c r="R99" s="441"/>
      <c r="S99" s="441"/>
      <c r="T99" s="441"/>
      <c r="U99" s="280"/>
      <c r="V99" s="501"/>
      <c r="W99" s="280"/>
      <c r="AB99" s="859"/>
      <c r="AC99" s="859"/>
      <c r="AD99" s="859"/>
      <c r="AE99" s="859"/>
      <c r="AF99" s="859"/>
      <c r="AG99" s="859"/>
      <c r="AH99" s="859"/>
      <c r="AI99" s="859"/>
      <c r="AJ99" s="859"/>
      <c r="AK99" s="859"/>
      <c r="AL99" s="859"/>
      <c r="AM99" s="859"/>
      <c r="AN99" s="859"/>
      <c r="AO99" s="859"/>
      <c r="AP99" s="859"/>
      <c r="AQ99" s="859"/>
      <c r="AR99" s="859"/>
      <c r="AS99" s="859"/>
      <c r="AT99" s="859"/>
      <c r="AU99" s="859"/>
      <c r="AV99" s="859"/>
      <c r="AW99" s="859"/>
    </row>
    <row r="100" spans="1:49" ht="14.75" x14ac:dyDescent="0.75">
      <c r="A100" s="442"/>
      <c r="B100" s="442"/>
      <c r="C100" s="442"/>
      <c r="D100" s="442"/>
      <c r="E100" s="442"/>
      <c r="F100" s="442"/>
      <c r="G100" s="442"/>
      <c r="H100" s="442"/>
      <c r="I100" s="442"/>
      <c r="J100" s="442"/>
      <c r="K100" s="442"/>
      <c r="L100" s="757"/>
      <c r="M100" s="442"/>
      <c r="N100" s="442"/>
      <c r="O100" s="442"/>
      <c r="P100" s="442"/>
      <c r="Q100" s="442"/>
      <c r="R100" s="442"/>
      <c r="S100" s="442"/>
      <c r="T100" s="442"/>
      <c r="AB100" s="859"/>
      <c r="AC100" s="859"/>
      <c r="AD100" s="859"/>
      <c r="AE100" s="859"/>
      <c r="AF100" s="859"/>
      <c r="AG100" s="859"/>
      <c r="AH100" s="859"/>
      <c r="AI100" s="859"/>
      <c r="AJ100" s="859"/>
      <c r="AK100" s="859"/>
      <c r="AL100" s="859"/>
      <c r="AM100" s="859"/>
      <c r="AN100" s="859"/>
      <c r="AO100" s="859"/>
      <c r="AP100" s="859"/>
      <c r="AQ100" s="859"/>
      <c r="AR100" s="859"/>
      <c r="AS100" s="859"/>
      <c r="AT100" s="859"/>
      <c r="AU100" s="859"/>
      <c r="AV100" s="859"/>
      <c r="AW100" s="859"/>
    </row>
    <row r="101" spans="1:49" ht="14.75" x14ac:dyDescent="0.75">
      <c r="A101" s="442"/>
      <c r="B101" s="442"/>
      <c r="C101" s="442"/>
      <c r="D101" s="442"/>
      <c r="E101" s="442"/>
      <c r="F101" s="442"/>
      <c r="G101" s="442"/>
      <c r="H101" s="442"/>
      <c r="I101" s="442"/>
      <c r="J101" s="442"/>
      <c r="K101" s="442"/>
      <c r="L101" s="757"/>
      <c r="M101" s="442"/>
      <c r="N101" s="442"/>
      <c r="O101" s="442"/>
      <c r="P101" s="442"/>
      <c r="Q101" s="442"/>
      <c r="R101" s="442"/>
      <c r="S101" s="442"/>
      <c r="T101" s="442"/>
      <c r="AB101" s="859"/>
      <c r="AC101" s="859"/>
      <c r="AD101" s="859"/>
      <c r="AE101" s="859"/>
      <c r="AF101" s="859"/>
      <c r="AG101" s="859"/>
      <c r="AH101" s="859"/>
      <c r="AI101" s="859"/>
      <c r="AJ101" s="859"/>
      <c r="AK101" s="859"/>
      <c r="AL101" s="859"/>
      <c r="AM101" s="859"/>
      <c r="AN101" s="859"/>
      <c r="AO101" s="859"/>
      <c r="AP101" s="859"/>
      <c r="AQ101" s="859"/>
      <c r="AR101" s="859"/>
      <c r="AS101" s="859"/>
      <c r="AT101" s="859"/>
      <c r="AU101" s="859"/>
      <c r="AV101" s="859"/>
      <c r="AW101" s="859"/>
    </row>
    <row r="102" spans="1:49" ht="14.75" x14ac:dyDescent="0.75">
      <c r="A102" s="442"/>
      <c r="B102" s="442"/>
      <c r="C102" s="442"/>
      <c r="D102" s="442"/>
      <c r="E102" s="442"/>
      <c r="F102" s="442"/>
      <c r="G102" s="442"/>
      <c r="H102" s="442"/>
      <c r="I102" s="442"/>
      <c r="J102" s="442"/>
      <c r="K102" s="442"/>
      <c r="L102" s="757"/>
      <c r="M102" s="442"/>
      <c r="N102" s="442"/>
      <c r="O102" s="442"/>
      <c r="P102" s="442"/>
      <c r="Q102" s="442"/>
      <c r="R102" s="442"/>
      <c r="S102" s="442"/>
      <c r="T102" s="442"/>
      <c r="AB102" s="859"/>
      <c r="AC102" s="859"/>
      <c r="AD102" s="859"/>
      <c r="AE102" s="859"/>
      <c r="AF102" s="859"/>
      <c r="AG102" s="859"/>
      <c r="AH102" s="859"/>
      <c r="AI102" s="859"/>
      <c r="AJ102" s="859"/>
      <c r="AK102" s="859"/>
      <c r="AL102" s="859"/>
      <c r="AM102" s="859"/>
      <c r="AN102" s="859"/>
      <c r="AO102" s="859"/>
      <c r="AP102" s="859"/>
      <c r="AQ102" s="859"/>
      <c r="AR102" s="859"/>
      <c r="AS102" s="859"/>
      <c r="AT102" s="859"/>
      <c r="AU102" s="859"/>
      <c r="AV102" s="859"/>
      <c r="AW102" s="859"/>
    </row>
    <row r="103" spans="1:49" ht="14.75" x14ac:dyDescent="0.75">
      <c r="A103" s="442"/>
      <c r="B103" s="442"/>
      <c r="C103" s="442"/>
      <c r="D103" s="442"/>
      <c r="E103" s="442"/>
      <c r="F103" s="442"/>
      <c r="G103" s="442"/>
      <c r="H103" s="442"/>
      <c r="I103" s="442"/>
      <c r="J103" s="442"/>
      <c r="K103" s="442"/>
      <c r="L103" s="757"/>
      <c r="M103" s="442"/>
      <c r="N103" s="442"/>
      <c r="O103" s="442"/>
      <c r="P103" s="442"/>
      <c r="Q103" s="442"/>
      <c r="R103" s="442"/>
      <c r="S103" s="442"/>
      <c r="T103" s="442"/>
      <c r="AB103" s="859"/>
      <c r="AC103" s="859"/>
      <c r="AD103" s="859"/>
      <c r="AE103" s="859"/>
      <c r="AF103" s="859"/>
      <c r="AG103" s="859"/>
      <c r="AH103" s="859"/>
      <c r="AI103" s="859"/>
      <c r="AJ103" s="859"/>
      <c r="AK103" s="859"/>
      <c r="AL103" s="859"/>
      <c r="AM103" s="859"/>
      <c r="AN103" s="859"/>
      <c r="AO103" s="859"/>
      <c r="AP103" s="859"/>
      <c r="AQ103" s="859"/>
      <c r="AR103" s="859"/>
      <c r="AS103" s="859"/>
      <c r="AT103" s="859"/>
      <c r="AU103" s="859"/>
      <c r="AV103" s="859"/>
      <c r="AW103" s="859"/>
    </row>
    <row r="104" spans="1:49" ht="14.75" x14ac:dyDescent="0.75">
      <c r="A104" s="442"/>
      <c r="B104" s="442"/>
      <c r="C104" s="442"/>
      <c r="D104" s="442"/>
      <c r="E104" s="442"/>
      <c r="F104" s="442"/>
      <c r="G104" s="442"/>
      <c r="H104" s="442"/>
      <c r="I104" s="442"/>
      <c r="J104" s="442"/>
      <c r="K104" s="442"/>
      <c r="L104" s="757"/>
      <c r="M104" s="442"/>
      <c r="N104" s="442"/>
      <c r="O104" s="442"/>
      <c r="P104" s="442"/>
      <c r="Q104" s="442"/>
      <c r="R104" s="442"/>
      <c r="S104" s="442"/>
      <c r="T104" s="442"/>
      <c r="AB104" s="859"/>
      <c r="AC104" s="859"/>
      <c r="AD104" s="859"/>
      <c r="AE104" s="859"/>
      <c r="AF104" s="859"/>
      <c r="AG104" s="859"/>
      <c r="AH104" s="859"/>
      <c r="AI104" s="859"/>
      <c r="AJ104" s="859"/>
      <c r="AK104" s="859"/>
      <c r="AL104" s="859"/>
      <c r="AM104" s="859"/>
      <c r="AN104" s="859"/>
      <c r="AO104" s="859"/>
      <c r="AP104" s="859"/>
      <c r="AQ104" s="859"/>
      <c r="AR104" s="859"/>
      <c r="AS104" s="859"/>
      <c r="AT104" s="859"/>
      <c r="AU104" s="859"/>
      <c r="AV104" s="859"/>
      <c r="AW104" s="859"/>
    </row>
    <row r="105" spans="1:49" ht="14.75" x14ac:dyDescent="0.75">
      <c r="A105" s="442"/>
      <c r="B105" s="442"/>
      <c r="C105" s="442"/>
      <c r="D105" s="442"/>
      <c r="E105" s="442"/>
      <c r="F105" s="442"/>
      <c r="G105" s="442"/>
      <c r="H105" s="442"/>
      <c r="I105" s="442"/>
      <c r="J105" s="442"/>
      <c r="K105" s="442"/>
      <c r="L105" s="757"/>
      <c r="M105" s="442"/>
      <c r="N105" s="442"/>
      <c r="O105" s="442"/>
      <c r="P105" s="442"/>
      <c r="Q105" s="442"/>
      <c r="R105" s="442"/>
      <c r="S105" s="442"/>
      <c r="T105" s="442"/>
      <c r="AB105" s="859"/>
      <c r="AC105" s="859"/>
      <c r="AD105" s="859"/>
      <c r="AE105" s="859"/>
      <c r="AF105" s="859"/>
      <c r="AG105" s="859"/>
      <c r="AH105" s="859"/>
      <c r="AI105" s="859"/>
      <c r="AJ105" s="859"/>
      <c r="AK105" s="859"/>
      <c r="AL105" s="859"/>
      <c r="AM105" s="859"/>
      <c r="AN105" s="859"/>
      <c r="AO105" s="859"/>
      <c r="AP105" s="859"/>
      <c r="AQ105" s="859"/>
      <c r="AR105" s="859"/>
      <c r="AS105" s="859"/>
      <c r="AT105" s="859"/>
      <c r="AU105" s="859"/>
      <c r="AV105" s="859"/>
      <c r="AW105" s="859"/>
    </row>
    <row r="106" spans="1:49" ht="14.75" x14ac:dyDescent="0.75">
      <c r="A106" s="442"/>
      <c r="B106" s="442"/>
      <c r="C106" s="442"/>
      <c r="D106" s="442"/>
      <c r="E106" s="442"/>
      <c r="F106" s="442"/>
      <c r="G106" s="442"/>
      <c r="H106" s="442"/>
      <c r="I106" s="442"/>
      <c r="J106" s="442"/>
      <c r="K106" s="442"/>
      <c r="L106" s="757"/>
      <c r="M106" s="442"/>
      <c r="N106" s="442"/>
      <c r="O106" s="442"/>
      <c r="P106" s="442"/>
      <c r="Q106" s="442"/>
      <c r="R106" s="442"/>
      <c r="S106" s="442"/>
      <c r="T106" s="442"/>
      <c r="AB106" s="859"/>
      <c r="AC106" s="859"/>
      <c r="AD106" s="859"/>
      <c r="AE106" s="859"/>
      <c r="AF106" s="859"/>
      <c r="AG106" s="859"/>
      <c r="AH106" s="859"/>
      <c r="AI106" s="859"/>
      <c r="AJ106" s="859"/>
      <c r="AK106" s="859"/>
      <c r="AL106" s="859"/>
      <c r="AM106" s="859"/>
      <c r="AN106" s="859"/>
      <c r="AO106" s="859"/>
      <c r="AP106" s="859"/>
      <c r="AQ106" s="859"/>
      <c r="AR106" s="859"/>
      <c r="AS106" s="859"/>
      <c r="AT106" s="859"/>
      <c r="AU106" s="859"/>
      <c r="AV106" s="859"/>
      <c r="AW106" s="859"/>
    </row>
    <row r="107" spans="1:49" ht="14.75" x14ac:dyDescent="0.75">
      <c r="A107" s="442"/>
      <c r="B107" s="442"/>
      <c r="C107" s="442"/>
      <c r="D107" s="442"/>
      <c r="E107" s="442"/>
      <c r="F107" s="442"/>
      <c r="G107" s="442"/>
      <c r="H107" s="442"/>
      <c r="I107" s="442"/>
      <c r="J107" s="442"/>
      <c r="K107" s="442"/>
      <c r="L107" s="757"/>
      <c r="M107" s="442"/>
      <c r="N107" s="442"/>
      <c r="O107" s="442"/>
      <c r="P107" s="442"/>
      <c r="Q107" s="442"/>
      <c r="R107" s="442"/>
      <c r="S107" s="442"/>
      <c r="T107" s="442"/>
      <c r="AB107" s="859"/>
      <c r="AC107" s="859"/>
      <c r="AD107" s="859"/>
      <c r="AE107" s="859"/>
      <c r="AF107" s="859"/>
      <c r="AG107" s="859"/>
      <c r="AH107" s="859"/>
      <c r="AI107" s="859"/>
      <c r="AJ107" s="859"/>
      <c r="AK107" s="859"/>
      <c r="AL107" s="859"/>
      <c r="AM107" s="859"/>
      <c r="AN107" s="859"/>
      <c r="AO107" s="859"/>
      <c r="AP107" s="859"/>
      <c r="AQ107" s="859"/>
      <c r="AR107" s="859"/>
      <c r="AS107" s="859"/>
      <c r="AT107" s="859"/>
      <c r="AU107" s="859"/>
      <c r="AV107" s="859"/>
      <c r="AW107" s="859"/>
    </row>
    <row r="108" spans="1:49" ht="14.75" x14ac:dyDescent="0.75">
      <c r="A108" s="442"/>
      <c r="B108" s="442"/>
      <c r="C108" s="442"/>
      <c r="D108" s="442"/>
      <c r="E108" s="442"/>
      <c r="F108" s="442"/>
      <c r="G108" s="442"/>
      <c r="H108" s="442"/>
      <c r="I108" s="442"/>
      <c r="J108" s="442"/>
      <c r="K108" s="442"/>
      <c r="L108" s="757"/>
      <c r="M108" s="442"/>
      <c r="N108" s="442"/>
      <c r="O108" s="442"/>
      <c r="P108" s="442"/>
      <c r="Q108" s="442"/>
      <c r="R108" s="442"/>
      <c r="S108" s="442"/>
      <c r="T108" s="442"/>
      <c r="AB108" s="859"/>
      <c r="AC108" s="859"/>
      <c r="AD108" s="859"/>
      <c r="AE108" s="859"/>
      <c r="AF108" s="859"/>
      <c r="AG108" s="859"/>
      <c r="AH108" s="859"/>
      <c r="AI108" s="859"/>
      <c r="AJ108" s="859"/>
      <c r="AK108" s="859"/>
      <c r="AL108" s="859"/>
      <c r="AM108" s="859"/>
      <c r="AN108" s="859"/>
      <c r="AO108" s="859"/>
      <c r="AP108" s="859"/>
      <c r="AQ108" s="859"/>
      <c r="AR108" s="859"/>
      <c r="AS108" s="859"/>
      <c r="AT108" s="859"/>
      <c r="AU108" s="859"/>
      <c r="AV108" s="859"/>
      <c r="AW108" s="859"/>
    </row>
    <row r="109" spans="1:49" ht="14.75" x14ac:dyDescent="0.75">
      <c r="A109" s="442"/>
      <c r="B109" s="442"/>
      <c r="C109" s="442"/>
      <c r="D109" s="442"/>
      <c r="E109" s="442"/>
      <c r="F109" s="442"/>
      <c r="G109" s="442"/>
      <c r="H109" s="442"/>
      <c r="I109" s="442"/>
      <c r="J109" s="442"/>
      <c r="K109" s="442"/>
      <c r="L109" s="757"/>
      <c r="M109" s="442"/>
      <c r="N109" s="442"/>
      <c r="O109" s="442"/>
      <c r="P109" s="442"/>
      <c r="Q109" s="442"/>
      <c r="R109" s="442"/>
      <c r="S109" s="442"/>
      <c r="T109" s="442"/>
      <c r="AB109" s="859"/>
      <c r="AC109" s="859"/>
      <c r="AD109" s="859"/>
      <c r="AE109" s="859"/>
      <c r="AF109" s="859"/>
      <c r="AG109" s="859"/>
      <c r="AH109" s="859"/>
      <c r="AI109" s="859"/>
      <c r="AJ109" s="859"/>
      <c r="AK109" s="859"/>
      <c r="AL109" s="859"/>
      <c r="AM109" s="859"/>
      <c r="AN109" s="859"/>
      <c r="AO109" s="859"/>
      <c r="AP109" s="859"/>
      <c r="AQ109" s="859"/>
      <c r="AR109" s="859"/>
      <c r="AS109" s="859"/>
      <c r="AT109" s="859"/>
      <c r="AU109" s="859"/>
      <c r="AV109" s="859"/>
      <c r="AW109" s="859"/>
    </row>
    <row r="110" spans="1:49" ht="14.75" x14ac:dyDescent="0.75">
      <c r="A110" s="442"/>
      <c r="B110" s="442"/>
      <c r="C110" s="442"/>
      <c r="D110" s="442"/>
      <c r="E110" s="442"/>
      <c r="F110" s="442"/>
      <c r="G110" s="442"/>
      <c r="H110" s="442"/>
      <c r="I110" s="442"/>
      <c r="J110" s="442"/>
      <c r="K110" s="442"/>
      <c r="L110" s="757"/>
      <c r="M110" s="442"/>
      <c r="N110" s="442"/>
      <c r="O110" s="442"/>
      <c r="P110" s="442"/>
      <c r="Q110" s="442"/>
      <c r="R110" s="442"/>
      <c r="S110" s="442"/>
      <c r="T110" s="442"/>
      <c r="AB110" s="859"/>
      <c r="AC110" s="859"/>
      <c r="AD110" s="859"/>
      <c r="AE110" s="859"/>
      <c r="AF110" s="859"/>
      <c r="AG110" s="859"/>
      <c r="AH110" s="859"/>
      <c r="AI110" s="859"/>
      <c r="AJ110" s="859"/>
      <c r="AK110" s="859"/>
      <c r="AL110" s="859"/>
      <c r="AM110" s="859"/>
      <c r="AN110" s="859"/>
      <c r="AO110" s="859"/>
      <c r="AP110" s="859"/>
      <c r="AQ110" s="859"/>
      <c r="AR110" s="859"/>
      <c r="AS110" s="859"/>
      <c r="AT110" s="859"/>
      <c r="AU110" s="859"/>
      <c r="AV110" s="859"/>
      <c r="AW110" s="859"/>
    </row>
    <row r="111" spans="1:49" ht="14.75" x14ac:dyDescent="0.75">
      <c r="A111" s="442"/>
      <c r="B111" s="442"/>
      <c r="C111" s="442"/>
      <c r="D111" s="442"/>
      <c r="E111" s="442"/>
      <c r="F111" s="442"/>
      <c r="G111" s="442"/>
      <c r="H111" s="442"/>
      <c r="I111" s="442"/>
      <c r="J111" s="442"/>
      <c r="K111" s="442"/>
      <c r="L111" s="757"/>
      <c r="M111" s="442"/>
      <c r="N111" s="442"/>
      <c r="O111" s="442"/>
      <c r="P111" s="442"/>
      <c r="Q111" s="442"/>
      <c r="R111" s="442"/>
      <c r="S111" s="442"/>
      <c r="T111" s="442"/>
      <c r="AB111" s="859"/>
      <c r="AC111" s="859"/>
      <c r="AD111" s="859"/>
      <c r="AE111" s="859"/>
      <c r="AF111" s="859"/>
      <c r="AG111" s="859"/>
      <c r="AH111" s="859"/>
      <c r="AI111" s="859"/>
      <c r="AJ111" s="859"/>
      <c r="AK111" s="859"/>
      <c r="AL111" s="859"/>
      <c r="AM111" s="859"/>
      <c r="AN111" s="859"/>
      <c r="AO111" s="859"/>
      <c r="AP111" s="859"/>
      <c r="AQ111" s="859"/>
      <c r="AR111" s="859"/>
      <c r="AS111" s="859"/>
      <c r="AT111" s="859"/>
      <c r="AU111" s="859"/>
      <c r="AV111" s="859"/>
      <c r="AW111" s="859"/>
    </row>
    <row r="112" spans="1:49" ht="14.75" x14ac:dyDescent="0.75">
      <c r="A112" s="442"/>
      <c r="B112" s="442"/>
      <c r="C112" s="442"/>
      <c r="D112" s="442"/>
      <c r="E112" s="442"/>
      <c r="F112" s="442"/>
      <c r="G112" s="442"/>
      <c r="H112" s="442"/>
      <c r="I112" s="442"/>
      <c r="J112" s="442"/>
      <c r="K112" s="442"/>
      <c r="L112" s="757"/>
      <c r="M112" s="442"/>
      <c r="N112" s="442"/>
      <c r="O112" s="442"/>
      <c r="P112" s="442"/>
      <c r="Q112" s="442"/>
      <c r="R112" s="442"/>
      <c r="S112" s="442"/>
      <c r="T112" s="442"/>
      <c r="AB112" s="859"/>
      <c r="AC112" s="859"/>
      <c r="AD112" s="859"/>
      <c r="AE112" s="859"/>
      <c r="AF112" s="859"/>
      <c r="AG112" s="859"/>
      <c r="AH112" s="859"/>
      <c r="AI112" s="859"/>
      <c r="AJ112" s="859"/>
      <c r="AK112" s="859"/>
      <c r="AL112" s="859"/>
      <c r="AM112" s="859"/>
      <c r="AN112" s="859"/>
      <c r="AO112" s="859"/>
      <c r="AP112" s="859"/>
      <c r="AQ112" s="859"/>
      <c r="AR112" s="859"/>
      <c r="AS112" s="859"/>
      <c r="AT112" s="859"/>
      <c r="AU112" s="859"/>
      <c r="AV112" s="859"/>
      <c r="AW112" s="859"/>
    </row>
    <row r="113" spans="1:49" ht="14.75" x14ac:dyDescent="0.75">
      <c r="A113" s="442"/>
      <c r="B113" s="442"/>
      <c r="C113" s="442"/>
      <c r="D113" s="442"/>
      <c r="E113" s="442"/>
      <c r="F113" s="442"/>
      <c r="G113" s="442"/>
      <c r="H113" s="442"/>
      <c r="I113" s="442"/>
      <c r="J113" s="442"/>
      <c r="K113" s="442"/>
      <c r="L113" s="757"/>
      <c r="M113" s="442"/>
      <c r="N113" s="442"/>
      <c r="O113" s="442"/>
      <c r="P113" s="442"/>
      <c r="Q113" s="442"/>
      <c r="R113" s="442"/>
      <c r="S113" s="442"/>
      <c r="T113" s="442"/>
      <c r="AB113" s="859"/>
      <c r="AC113" s="859"/>
      <c r="AD113" s="859"/>
      <c r="AE113" s="859"/>
      <c r="AF113" s="859"/>
      <c r="AG113" s="859"/>
      <c r="AH113" s="859"/>
      <c r="AI113" s="859"/>
      <c r="AJ113" s="859"/>
      <c r="AK113" s="859"/>
      <c r="AL113" s="859"/>
      <c r="AM113" s="859"/>
      <c r="AN113" s="859"/>
      <c r="AO113" s="859"/>
      <c r="AP113" s="859"/>
      <c r="AQ113" s="859"/>
      <c r="AR113" s="859"/>
      <c r="AS113" s="859"/>
      <c r="AT113" s="859"/>
      <c r="AU113" s="859"/>
      <c r="AV113" s="859"/>
      <c r="AW113" s="859"/>
    </row>
    <row r="114" spans="1:49" ht="14.75" x14ac:dyDescent="0.75">
      <c r="A114" s="442"/>
      <c r="B114" s="442"/>
      <c r="C114" s="442"/>
      <c r="D114" s="442"/>
      <c r="E114" s="442"/>
      <c r="F114" s="442"/>
      <c r="G114" s="442"/>
      <c r="H114" s="442"/>
      <c r="I114" s="442"/>
      <c r="J114" s="442"/>
      <c r="K114" s="442"/>
      <c r="L114" s="757"/>
      <c r="M114" s="442"/>
      <c r="N114" s="442"/>
      <c r="O114" s="442"/>
      <c r="P114" s="442"/>
      <c r="Q114" s="442"/>
      <c r="R114" s="442"/>
      <c r="S114" s="442"/>
      <c r="T114" s="442"/>
      <c r="AB114" s="859"/>
      <c r="AC114" s="859"/>
      <c r="AD114" s="859"/>
      <c r="AE114" s="859"/>
      <c r="AF114" s="859"/>
      <c r="AG114" s="859"/>
      <c r="AH114" s="859"/>
      <c r="AI114" s="859"/>
      <c r="AJ114" s="859"/>
      <c r="AK114" s="859"/>
      <c r="AL114" s="859"/>
      <c r="AM114" s="859"/>
      <c r="AN114" s="859"/>
      <c r="AO114" s="859"/>
      <c r="AP114" s="859"/>
      <c r="AQ114" s="859"/>
      <c r="AR114" s="859"/>
      <c r="AS114" s="859"/>
      <c r="AT114" s="859"/>
      <c r="AU114" s="859"/>
      <c r="AV114" s="859"/>
      <c r="AW114" s="859"/>
    </row>
    <row r="115" spans="1:49" ht="14.75" x14ac:dyDescent="0.75">
      <c r="A115" s="442"/>
      <c r="B115" s="442"/>
      <c r="C115" s="442"/>
      <c r="D115" s="442"/>
      <c r="E115" s="442"/>
      <c r="F115" s="442"/>
      <c r="G115" s="442"/>
      <c r="H115" s="442"/>
      <c r="I115" s="442"/>
      <c r="J115" s="442"/>
      <c r="K115" s="442"/>
      <c r="L115" s="757"/>
      <c r="M115" s="442"/>
      <c r="N115" s="442"/>
      <c r="O115" s="442"/>
      <c r="P115" s="442"/>
      <c r="Q115" s="442"/>
      <c r="R115" s="442"/>
      <c r="S115" s="442"/>
      <c r="T115" s="442"/>
      <c r="AB115" s="859"/>
      <c r="AC115" s="859"/>
      <c r="AD115" s="859"/>
      <c r="AE115" s="859"/>
      <c r="AF115" s="859"/>
      <c r="AG115" s="859"/>
      <c r="AH115" s="859"/>
      <c r="AI115" s="859"/>
      <c r="AJ115" s="859"/>
      <c r="AK115" s="859"/>
      <c r="AL115" s="859"/>
      <c r="AM115" s="859"/>
      <c r="AN115" s="859"/>
      <c r="AO115" s="859"/>
      <c r="AP115" s="859"/>
      <c r="AQ115" s="859"/>
      <c r="AR115" s="859"/>
      <c r="AS115" s="859"/>
      <c r="AT115" s="859"/>
      <c r="AU115" s="859"/>
      <c r="AV115" s="859"/>
      <c r="AW115" s="859"/>
    </row>
    <row r="116" spans="1:49" ht="14.75" x14ac:dyDescent="0.75">
      <c r="A116" s="442"/>
      <c r="B116" s="442"/>
      <c r="C116" s="442"/>
      <c r="D116" s="442"/>
      <c r="E116" s="442"/>
      <c r="F116" s="442"/>
      <c r="G116" s="442"/>
      <c r="H116" s="442"/>
      <c r="I116" s="442"/>
      <c r="J116" s="442"/>
      <c r="K116" s="442"/>
      <c r="L116" s="757"/>
      <c r="M116" s="442"/>
      <c r="N116" s="442"/>
      <c r="O116" s="442"/>
      <c r="P116" s="442"/>
      <c r="Q116" s="442"/>
      <c r="R116" s="442"/>
      <c r="S116" s="442"/>
      <c r="T116" s="442"/>
      <c r="AB116" s="859"/>
      <c r="AC116" s="859"/>
      <c r="AD116" s="859"/>
      <c r="AE116" s="859"/>
      <c r="AF116" s="859"/>
      <c r="AG116" s="859"/>
      <c r="AH116" s="859"/>
      <c r="AI116" s="859"/>
      <c r="AJ116" s="859"/>
      <c r="AK116" s="859"/>
      <c r="AL116" s="859"/>
      <c r="AM116" s="859"/>
      <c r="AN116" s="859"/>
      <c r="AO116" s="859"/>
      <c r="AP116" s="859"/>
      <c r="AQ116" s="859"/>
      <c r="AR116" s="859"/>
      <c r="AS116" s="859"/>
      <c r="AT116" s="859"/>
      <c r="AU116" s="859"/>
      <c r="AV116" s="859"/>
      <c r="AW116" s="859"/>
    </row>
    <row r="117" spans="1:49" ht="14.75" x14ac:dyDescent="0.75">
      <c r="A117" s="442"/>
      <c r="B117" s="442"/>
      <c r="C117" s="442"/>
      <c r="D117" s="442"/>
      <c r="E117" s="442"/>
      <c r="F117" s="442"/>
      <c r="G117" s="442"/>
      <c r="H117" s="442"/>
      <c r="I117" s="442"/>
      <c r="J117" s="442"/>
      <c r="K117" s="442"/>
      <c r="L117" s="757"/>
      <c r="M117" s="442"/>
      <c r="N117" s="442"/>
      <c r="O117" s="442"/>
      <c r="P117" s="442"/>
      <c r="Q117" s="442"/>
      <c r="R117" s="442"/>
      <c r="S117" s="442"/>
      <c r="T117" s="442"/>
      <c r="AB117" s="859"/>
      <c r="AC117" s="859"/>
      <c r="AD117" s="859"/>
      <c r="AE117" s="859"/>
      <c r="AF117" s="859"/>
      <c r="AG117" s="859"/>
      <c r="AH117" s="859"/>
      <c r="AI117" s="859"/>
      <c r="AJ117" s="859"/>
      <c r="AK117" s="859"/>
      <c r="AL117" s="859"/>
      <c r="AM117" s="859"/>
      <c r="AN117" s="859"/>
      <c r="AO117" s="859"/>
      <c r="AP117" s="859"/>
      <c r="AQ117" s="859"/>
      <c r="AR117" s="859"/>
      <c r="AS117" s="859"/>
      <c r="AT117" s="859"/>
      <c r="AU117" s="859"/>
      <c r="AV117" s="859"/>
      <c r="AW117" s="859"/>
    </row>
    <row r="118" spans="1:49" ht="14.75" x14ac:dyDescent="0.75">
      <c r="A118" s="442"/>
      <c r="B118" s="442"/>
      <c r="C118" s="442"/>
      <c r="D118" s="442"/>
      <c r="E118" s="442"/>
      <c r="F118" s="442"/>
      <c r="G118" s="442"/>
      <c r="H118" s="442"/>
      <c r="I118" s="442"/>
      <c r="J118" s="442"/>
      <c r="K118" s="442"/>
      <c r="L118" s="757"/>
      <c r="M118" s="442"/>
      <c r="N118" s="442"/>
      <c r="O118" s="442"/>
      <c r="P118" s="442"/>
      <c r="Q118" s="442"/>
      <c r="R118" s="442"/>
      <c r="S118" s="442"/>
      <c r="T118" s="442"/>
      <c r="AB118" s="859"/>
      <c r="AC118" s="859"/>
      <c r="AD118" s="859"/>
      <c r="AE118" s="859"/>
      <c r="AF118" s="859"/>
      <c r="AG118" s="859"/>
      <c r="AH118" s="859"/>
      <c r="AI118" s="859"/>
      <c r="AJ118" s="859"/>
      <c r="AK118" s="859"/>
      <c r="AL118" s="859"/>
      <c r="AM118" s="859"/>
      <c r="AN118" s="859"/>
      <c r="AO118" s="859"/>
      <c r="AP118" s="859"/>
      <c r="AQ118" s="859"/>
      <c r="AR118" s="859"/>
      <c r="AS118" s="859"/>
      <c r="AT118" s="859"/>
      <c r="AU118" s="859"/>
      <c r="AV118" s="859"/>
      <c r="AW118" s="859"/>
    </row>
    <row r="119" spans="1:49" ht="14.75" x14ac:dyDescent="0.75">
      <c r="A119" s="442"/>
      <c r="B119" s="442"/>
      <c r="C119" s="442"/>
      <c r="D119" s="442"/>
      <c r="E119" s="442"/>
      <c r="F119" s="442"/>
      <c r="G119" s="442"/>
      <c r="H119" s="442"/>
      <c r="I119" s="442"/>
      <c r="J119" s="442"/>
      <c r="K119" s="442"/>
      <c r="L119" s="757"/>
      <c r="M119" s="442"/>
      <c r="N119" s="442"/>
      <c r="O119" s="442"/>
      <c r="P119" s="442"/>
      <c r="Q119" s="442"/>
      <c r="R119" s="442"/>
      <c r="S119" s="442"/>
      <c r="T119" s="442"/>
      <c r="AB119" s="859"/>
      <c r="AC119" s="859"/>
      <c r="AD119" s="859"/>
      <c r="AE119" s="859"/>
      <c r="AF119" s="859"/>
      <c r="AG119" s="859"/>
      <c r="AH119" s="859"/>
      <c r="AI119" s="859"/>
      <c r="AJ119" s="859"/>
      <c r="AK119" s="859"/>
      <c r="AL119" s="859"/>
      <c r="AM119" s="859"/>
      <c r="AN119" s="859"/>
      <c r="AO119" s="859"/>
      <c r="AP119" s="859"/>
      <c r="AQ119" s="859"/>
      <c r="AR119" s="859"/>
      <c r="AS119" s="859"/>
      <c r="AT119" s="859"/>
      <c r="AU119" s="859"/>
      <c r="AV119" s="859"/>
      <c r="AW119" s="859"/>
    </row>
    <row r="120" spans="1:49" ht="14.75" x14ac:dyDescent="0.75">
      <c r="A120" s="442"/>
      <c r="B120" s="442"/>
      <c r="C120" s="442"/>
      <c r="D120" s="442"/>
      <c r="E120" s="442"/>
      <c r="F120" s="442"/>
      <c r="G120" s="442"/>
      <c r="H120" s="442"/>
      <c r="I120" s="442"/>
      <c r="J120" s="442"/>
      <c r="K120" s="442"/>
      <c r="L120" s="757"/>
      <c r="M120" s="442"/>
      <c r="N120" s="442"/>
      <c r="O120" s="442"/>
      <c r="P120" s="442"/>
      <c r="Q120" s="442"/>
      <c r="R120" s="442"/>
      <c r="S120" s="442"/>
      <c r="T120" s="442"/>
      <c r="AB120" s="859"/>
      <c r="AC120" s="859"/>
      <c r="AD120" s="859"/>
      <c r="AE120" s="859"/>
      <c r="AF120" s="859"/>
      <c r="AG120" s="859"/>
      <c r="AH120" s="859"/>
      <c r="AI120" s="859"/>
      <c r="AJ120" s="859"/>
      <c r="AK120" s="859"/>
      <c r="AL120" s="859"/>
      <c r="AM120" s="859"/>
      <c r="AN120" s="859"/>
      <c r="AO120" s="859"/>
      <c r="AP120" s="859"/>
      <c r="AQ120" s="859"/>
      <c r="AR120" s="859"/>
      <c r="AS120" s="859"/>
      <c r="AT120" s="859"/>
      <c r="AU120" s="859"/>
      <c r="AV120" s="859"/>
      <c r="AW120" s="859"/>
    </row>
    <row r="121" spans="1:49" ht="14.75" x14ac:dyDescent="0.75">
      <c r="A121" s="442"/>
      <c r="B121" s="442"/>
      <c r="C121" s="442"/>
      <c r="D121" s="442"/>
      <c r="E121" s="442"/>
      <c r="F121" s="442"/>
      <c r="G121" s="442"/>
      <c r="H121" s="442"/>
      <c r="I121" s="442"/>
      <c r="J121" s="442"/>
      <c r="K121" s="442"/>
      <c r="L121" s="757"/>
      <c r="M121" s="442"/>
      <c r="N121" s="442"/>
      <c r="O121" s="442"/>
      <c r="P121" s="442"/>
      <c r="Q121" s="442"/>
      <c r="R121" s="442"/>
      <c r="S121" s="442"/>
      <c r="T121" s="442"/>
      <c r="AB121" s="859"/>
      <c r="AC121" s="859"/>
      <c r="AD121" s="859"/>
      <c r="AE121" s="859"/>
      <c r="AF121" s="859"/>
      <c r="AG121" s="859"/>
      <c r="AH121" s="859"/>
      <c r="AI121" s="859"/>
      <c r="AJ121" s="859"/>
      <c r="AK121" s="859"/>
      <c r="AL121" s="859"/>
      <c r="AM121" s="859"/>
      <c r="AN121" s="859"/>
      <c r="AO121" s="859"/>
      <c r="AP121" s="859"/>
      <c r="AQ121" s="859"/>
      <c r="AR121" s="859"/>
      <c r="AS121" s="859"/>
      <c r="AT121" s="859"/>
      <c r="AU121" s="859"/>
      <c r="AV121" s="859"/>
      <c r="AW121" s="859"/>
    </row>
    <row r="122" spans="1:49" ht="14.75" x14ac:dyDescent="0.75">
      <c r="A122" s="442"/>
      <c r="B122" s="442"/>
      <c r="C122" s="442"/>
      <c r="D122" s="442"/>
      <c r="E122" s="442"/>
      <c r="F122" s="442"/>
      <c r="G122" s="442"/>
      <c r="H122" s="442"/>
      <c r="I122" s="442"/>
      <c r="J122" s="442"/>
      <c r="K122" s="442"/>
      <c r="L122" s="757"/>
      <c r="M122" s="442"/>
      <c r="N122" s="442"/>
      <c r="O122" s="442"/>
      <c r="P122" s="442"/>
      <c r="Q122" s="442"/>
      <c r="R122" s="442"/>
      <c r="S122" s="442"/>
      <c r="T122" s="442"/>
      <c r="AB122" s="859"/>
      <c r="AC122" s="859"/>
      <c r="AD122" s="859"/>
      <c r="AE122" s="859"/>
      <c r="AF122" s="859"/>
      <c r="AG122" s="859"/>
      <c r="AH122" s="859"/>
      <c r="AI122" s="859"/>
      <c r="AJ122" s="859"/>
      <c r="AK122" s="859"/>
      <c r="AL122" s="859"/>
      <c r="AM122" s="859"/>
      <c r="AN122" s="859"/>
      <c r="AO122" s="859"/>
      <c r="AP122" s="859"/>
      <c r="AQ122" s="859"/>
      <c r="AR122" s="859"/>
      <c r="AS122" s="859"/>
      <c r="AT122" s="859"/>
      <c r="AU122" s="859"/>
      <c r="AV122" s="859"/>
      <c r="AW122" s="859"/>
    </row>
    <row r="123" spans="1:49" ht="14.75" x14ac:dyDescent="0.75">
      <c r="A123" s="442"/>
      <c r="B123" s="442"/>
      <c r="C123" s="442"/>
      <c r="D123" s="442"/>
      <c r="E123" s="442"/>
      <c r="F123" s="442"/>
      <c r="G123" s="442"/>
      <c r="H123" s="442"/>
      <c r="I123" s="442"/>
      <c r="J123" s="442"/>
      <c r="K123" s="442"/>
      <c r="L123" s="757"/>
      <c r="M123" s="442"/>
      <c r="N123" s="442"/>
      <c r="O123" s="442"/>
      <c r="P123" s="442"/>
      <c r="Q123" s="442"/>
      <c r="R123" s="442"/>
      <c r="S123" s="442"/>
      <c r="T123" s="442"/>
      <c r="AB123" s="859"/>
      <c r="AC123" s="859"/>
      <c r="AD123" s="859"/>
      <c r="AE123" s="859"/>
      <c r="AF123" s="859"/>
      <c r="AG123" s="859"/>
      <c r="AH123" s="859"/>
      <c r="AI123" s="859"/>
      <c r="AJ123" s="859"/>
      <c r="AK123" s="859"/>
      <c r="AL123" s="859"/>
      <c r="AM123" s="859"/>
      <c r="AN123" s="859"/>
      <c r="AO123" s="859"/>
      <c r="AP123" s="859"/>
      <c r="AQ123" s="859"/>
      <c r="AR123" s="859"/>
      <c r="AS123" s="859"/>
      <c r="AT123" s="859"/>
      <c r="AU123" s="859"/>
      <c r="AV123" s="859"/>
      <c r="AW123" s="859"/>
    </row>
    <row r="124" spans="1:49" ht="14.75" x14ac:dyDescent="0.75">
      <c r="A124" s="442"/>
      <c r="B124" s="442"/>
      <c r="C124" s="442"/>
      <c r="D124" s="442"/>
      <c r="E124" s="442"/>
      <c r="F124" s="442"/>
      <c r="G124" s="442"/>
      <c r="H124" s="442"/>
      <c r="I124" s="442"/>
      <c r="J124" s="442"/>
      <c r="K124" s="442"/>
      <c r="L124" s="757"/>
      <c r="M124" s="442"/>
      <c r="N124" s="442"/>
      <c r="O124" s="442"/>
      <c r="P124" s="442"/>
      <c r="Q124" s="442"/>
      <c r="R124" s="442"/>
      <c r="S124" s="442"/>
      <c r="T124" s="442"/>
      <c r="AB124" s="859"/>
      <c r="AC124" s="859"/>
      <c r="AD124" s="859"/>
      <c r="AE124" s="859"/>
      <c r="AF124" s="859"/>
      <c r="AG124" s="859"/>
      <c r="AH124" s="859"/>
      <c r="AI124" s="859"/>
      <c r="AJ124" s="859"/>
      <c r="AK124" s="859"/>
      <c r="AL124" s="859"/>
      <c r="AM124" s="859"/>
      <c r="AN124" s="859"/>
      <c r="AO124" s="859"/>
      <c r="AP124" s="859"/>
      <c r="AQ124" s="859"/>
      <c r="AR124" s="859"/>
      <c r="AS124" s="859"/>
      <c r="AT124" s="859"/>
      <c r="AU124" s="859"/>
      <c r="AV124" s="859"/>
      <c r="AW124" s="859"/>
    </row>
    <row r="125" spans="1:49" ht="14.75" x14ac:dyDescent="0.75">
      <c r="A125" s="442"/>
      <c r="B125" s="442"/>
      <c r="C125" s="442"/>
      <c r="D125" s="442"/>
      <c r="E125" s="442"/>
      <c r="F125" s="442"/>
      <c r="G125" s="442"/>
      <c r="H125" s="442"/>
      <c r="I125" s="442"/>
      <c r="J125" s="442"/>
      <c r="K125" s="442"/>
      <c r="L125" s="757"/>
      <c r="M125" s="442"/>
      <c r="N125" s="442"/>
      <c r="O125" s="442"/>
      <c r="P125" s="442"/>
      <c r="Q125" s="442"/>
      <c r="R125" s="442"/>
      <c r="S125" s="442"/>
      <c r="T125" s="442"/>
      <c r="AB125" s="859"/>
      <c r="AC125" s="859"/>
      <c r="AD125" s="859"/>
      <c r="AE125" s="859"/>
      <c r="AF125" s="859"/>
      <c r="AG125" s="859"/>
      <c r="AH125" s="859"/>
      <c r="AI125" s="859"/>
      <c r="AJ125" s="859"/>
      <c r="AK125" s="859"/>
      <c r="AL125" s="859"/>
      <c r="AM125" s="859"/>
      <c r="AN125" s="859"/>
      <c r="AO125" s="859"/>
      <c r="AP125" s="859"/>
      <c r="AQ125" s="859"/>
      <c r="AR125" s="859"/>
      <c r="AS125" s="859"/>
      <c r="AT125" s="859"/>
      <c r="AU125" s="859"/>
      <c r="AV125" s="859"/>
      <c r="AW125" s="859"/>
    </row>
    <row r="126" spans="1:49" ht="14.75" x14ac:dyDescent="0.75">
      <c r="A126" s="442"/>
      <c r="B126" s="442"/>
      <c r="C126" s="442"/>
      <c r="D126" s="442"/>
      <c r="E126" s="442"/>
      <c r="F126" s="442"/>
      <c r="G126" s="442"/>
      <c r="H126" s="442"/>
      <c r="I126" s="442"/>
      <c r="J126" s="442"/>
      <c r="K126" s="442"/>
      <c r="L126" s="757"/>
      <c r="M126" s="442"/>
      <c r="N126" s="442"/>
      <c r="O126" s="442"/>
      <c r="P126" s="442"/>
      <c r="Q126" s="442"/>
      <c r="R126" s="442"/>
      <c r="S126" s="442"/>
      <c r="T126" s="442"/>
      <c r="AB126" s="859"/>
      <c r="AC126" s="859"/>
      <c r="AD126" s="859"/>
      <c r="AE126" s="859"/>
      <c r="AF126" s="859"/>
      <c r="AG126" s="859"/>
      <c r="AH126" s="859"/>
      <c r="AI126" s="859"/>
      <c r="AJ126" s="859"/>
      <c r="AK126" s="859"/>
      <c r="AL126" s="859"/>
      <c r="AM126" s="859"/>
      <c r="AN126" s="859"/>
      <c r="AO126" s="859"/>
      <c r="AP126" s="859"/>
      <c r="AQ126" s="859"/>
      <c r="AR126" s="859"/>
      <c r="AS126" s="859"/>
      <c r="AT126" s="859"/>
      <c r="AU126" s="859"/>
      <c r="AV126" s="859"/>
      <c r="AW126" s="859"/>
    </row>
    <row r="127" spans="1:49" ht="14.75" x14ac:dyDescent="0.75">
      <c r="G127" s="321"/>
      <c r="H127" s="321"/>
      <c r="I127" s="321"/>
      <c r="J127" s="321"/>
      <c r="K127" s="321"/>
      <c r="L127" s="758"/>
      <c r="M127" s="442"/>
      <c r="N127" s="442"/>
      <c r="O127" s="442"/>
      <c r="P127" s="442"/>
      <c r="Q127" s="442"/>
      <c r="R127" s="442"/>
      <c r="S127" s="442"/>
      <c r="T127" s="442"/>
      <c r="AB127" s="859"/>
      <c r="AC127" s="859"/>
      <c r="AD127" s="859"/>
      <c r="AE127" s="859"/>
      <c r="AF127" s="859"/>
      <c r="AG127" s="859"/>
      <c r="AH127" s="859"/>
      <c r="AI127" s="859"/>
      <c r="AJ127" s="859"/>
      <c r="AK127" s="859"/>
      <c r="AL127" s="859"/>
      <c r="AM127" s="859"/>
      <c r="AN127" s="859"/>
      <c r="AO127" s="859"/>
      <c r="AP127" s="859"/>
      <c r="AQ127" s="859"/>
      <c r="AR127" s="859"/>
      <c r="AS127" s="859"/>
      <c r="AT127" s="859"/>
      <c r="AU127" s="859"/>
      <c r="AV127" s="859"/>
      <c r="AW127" s="859"/>
    </row>
    <row r="128" spans="1:49" ht="14.75" x14ac:dyDescent="0.75">
      <c r="I128" s="755"/>
      <c r="J128" s="755"/>
      <c r="K128" s="755"/>
      <c r="L128" s="756"/>
      <c r="M128" s="442"/>
      <c r="N128" s="442"/>
      <c r="O128" s="442"/>
      <c r="P128" s="442"/>
      <c r="Q128" s="442"/>
      <c r="R128" s="442"/>
      <c r="S128" s="442"/>
      <c r="T128" s="442"/>
      <c r="AB128" s="859"/>
      <c r="AC128" s="859"/>
      <c r="AD128" s="859"/>
      <c r="AE128" s="859"/>
      <c r="AF128" s="859"/>
      <c r="AG128" s="859"/>
      <c r="AH128" s="859"/>
      <c r="AI128" s="859"/>
      <c r="AJ128" s="859"/>
      <c r="AK128" s="859"/>
      <c r="AL128" s="859"/>
      <c r="AM128" s="859"/>
      <c r="AN128" s="859"/>
      <c r="AO128" s="859"/>
      <c r="AP128" s="859"/>
      <c r="AQ128" s="859"/>
      <c r="AR128" s="859"/>
      <c r="AS128" s="859"/>
      <c r="AT128" s="859"/>
      <c r="AU128" s="859"/>
      <c r="AV128" s="859"/>
      <c r="AW128" s="859"/>
    </row>
    <row r="129" spans="13:49" ht="14.75" x14ac:dyDescent="0.75">
      <c r="M129" s="442"/>
      <c r="N129" s="442"/>
      <c r="O129" s="442"/>
      <c r="P129" s="442"/>
      <c r="Q129" s="442"/>
      <c r="R129" s="442"/>
      <c r="S129" s="442"/>
      <c r="T129" s="442"/>
      <c r="AB129" s="859"/>
      <c r="AC129" s="859"/>
      <c r="AD129" s="859"/>
      <c r="AE129" s="859"/>
      <c r="AF129" s="859"/>
      <c r="AG129" s="859"/>
      <c r="AH129" s="859"/>
      <c r="AI129" s="859"/>
      <c r="AJ129" s="859"/>
      <c r="AK129" s="859"/>
      <c r="AL129" s="859"/>
      <c r="AM129" s="859"/>
      <c r="AN129" s="859"/>
      <c r="AO129" s="859"/>
      <c r="AP129" s="859"/>
      <c r="AQ129" s="859"/>
      <c r="AR129" s="859"/>
      <c r="AS129" s="859"/>
      <c r="AT129" s="859"/>
      <c r="AU129" s="859"/>
      <c r="AV129" s="859"/>
      <c r="AW129" s="859"/>
    </row>
    <row r="130" spans="13:49" ht="14.75" x14ac:dyDescent="0.75">
      <c r="M130" s="442"/>
      <c r="N130" s="442"/>
      <c r="O130" s="442"/>
      <c r="P130" s="442"/>
      <c r="Q130" s="442"/>
      <c r="R130" s="442"/>
      <c r="S130" s="442"/>
      <c r="T130" s="442"/>
      <c r="AB130" s="859"/>
      <c r="AC130" s="859"/>
      <c r="AD130" s="859"/>
      <c r="AE130" s="859"/>
      <c r="AF130" s="859"/>
      <c r="AG130" s="859"/>
      <c r="AH130" s="859"/>
      <c r="AI130" s="859"/>
      <c r="AJ130" s="859"/>
      <c r="AK130" s="859"/>
      <c r="AL130" s="859"/>
      <c r="AM130" s="859"/>
      <c r="AN130" s="859"/>
      <c r="AO130" s="859"/>
      <c r="AP130" s="859"/>
      <c r="AQ130" s="859"/>
      <c r="AR130" s="859"/>
      <c r="AS130" s="859"/>
      <c r="AT130" s="859"/>
      <c r="AU130" s="859"/>
      <c r="AV130" s="859"/>
      <c r="AW130" s="859"/>
    </row>
    <row r="131" spans="13:49" ht="14.75" x14ac:dyDescent="0.75">
      <c r="M131" s="442"/>
      <c r="N131" s="442"/>
      <c r="O131" s="442"/>
      <c r="P131" s="442"/>
      <c r="Q131" s="442"/>
      <c r="R131" s="442"/>
      <c r="S131" s="442"/>
      <c r="T131" s="442"/>
      <c r="AB131" s="859"/>
      <c r="AC131" s="859"/>
      <c r="AD131" s="859"/>
      <c r="AE131" s="859"/>
      <c r="AF131" s="859"/>
      <c r="AG131" s="859"/>
      <c r="AH131" s="859"/>
      <c r="AI131" s="859"/>
      <c r="AJ131" s="859"/>
      <c r="AK131" s="859"/>
      <c r="AL131" s="859"/>
      <c r="AM131" s="859"/>
      <c r="AN131" s="859"/>
      <c r="AO131" s="859"/>
      <c r="AP131" s="859"/>
      <c r="AQ131" s="859"/>
      <c r="AR131" s="859"/>
      <c r="AS131" s="859"/>
      <c r="AT131" s="859"/>
      <c r="AU131" s="859"/>
      <c r="AV131" s="859"/>
      <c r="AW131" s="859"/>
    </row>
    <row r="132" spans="13:49" ht="14.75" x14ac:dyDescent="0.75">
      <c r="M132" s="442"/>
      <c r="N132" s="442"/>
      <c r="O132" s="442"/>
      <c r="P132" s="442"/>
      <c r="Q132" s="442"/>
      <c r="R132" s="442"/>
      <c r="S132" s="442"/>
      <c r="T132" s="442"/>
      <c r="AB132" s="859"/>
      <c r="AC132" s="859"/>
      <c r="AD132" s="859"/>
      <c r="AE132" s="859"/>
      <c r="AF132" s="859"/>
      <c r="AG132" s="859"/>
      <c r="AH132" s="859"/>
      <c r="AI132" s="859"/>
      <c r="AJ132" s="859"/>
      <c r="AK132" s="859"/>
      <c r="AL132" s="859"/>
      <c r="AM132" s="859"/>
      <c r="AN132" s="859"/>
      <c r="AO132" s="859"/>
      <c r="AP132" s="859"/>
      <c r="AQ132" s="859"/>
      <c r="AR132" s="859"/>
      <c r="AS132" s="859"/>
      <c r="AT132" s="859"/>
      <c r="AU132" s="859"/>
      <c r="AV132" s="859"/>
      <c r="AW132" s="859"/>
    </row>
    <row r="133" spans="13:49" ht="14.75" x14ac:dyDescent="0.75">
      <c r="M133" s="442"/>
      <c r="N133" s="442"/>
      <c r="O133" s="442"/>
      <c r="P133" s="442"/>
      <c r="Q133" s="442"/>
      <c r="R133" s="442"/>
      <c r="S133" s="442"/>
      <c r="T133" s="442"/>
      <c r="AB133" s="859"/>
      <c r="AC133" s="859"/>
      <c r="AD133" s="859"/>
      <c r="AE133" s="859"/>
      <c r="AF133" s="859"/>
      <c r="AG133" s="859"/>
      <c r="AH133" s="859"/>
      <c r="AI133" s="859"/>
      <c r="AJ133" s="859"/>
      <c r="AK133" s="859"/>
      <c r="AL133" s="859"/>
      <c r="AM133" s="859"/>
      <c r="AN133" s="859"/>
      <c r="AO133" s="859"/>
      <c r="AP133" s="859"/>
      <c r="AQ133" s="859"/>
      <c r="AR133" s="859"/>
      <c r="AS133" s="859"/>
      <c r="AT133" s="859"/>
      <c r="AU133" s="859"/>
      <c r="AV133" s="859"/>
      <c r="AW133" s="859"/>
    </row>
  </sheetData>
  <sheetProtection selectLockedCells="1"/>
  <autoFilter ref="A2:F2" xr:uid="{52F044FB-45CA-4BAB-AF18-3B4E1B2D0DCC}"/>
  <mergeCells count="65">
    <mergeCell ref="P31:Q31"/>
    <mergeCell ref="P34:Q34"/>
    <mergeCell ref="P36:Q36"/>
    <mergeCell ref="P35:Q35"/>
    <mergeCell ref="P39:Q39"/>
    <mergeCell ref="P38:Q38"/>
    <mergeCell ref="AC4:AC5"/>
    <mergeCell ref="AD4:AD5"/>
    <mergeCell ref="AE4:AE5"/>
    <mergeCell ref="S16:S17"/>
    <mergeCell ref="Y16:Y17"/>
    <mergeCell ref="Z16:Z17"/>
    <mergeCell ref="P21:Q21"/>
    <mergeCell ref="P22:Q22"/>
    <mergeCell ref="B17:B19"/>
    <mergeCell ref="P24:Q24"/>
    <mergeCell ref="P18:Q18"/>
    <mergeCell ref="B23:B25"/>
    <mergeCell ref="D1:G1"/>
    <mergeCell ref="B26:B27"/>
    <mergeCell ref="P25:Q25"/>
    <mergeCell ref="P26:Q26"/>
    <mergeCell ref="B20:B22"/>
    <mergeCell ref="P27:Q27"/>
    <mergeCell ref="P23:Q23"/>
    <mergeCell ref="A1:B1"/>
    <mergeCell ref="D2:E2"/>
    <mergeCell ref="F2:G2"/>
    <mergeCell ref="P14:Q14"/>
    <mergeCell ref="P15:Q15"/>
    <mergeCell ref="A12:A27"/>
    <mergeCell ref="B12:B13"/>
    <mergeCell ref="P19:Q19"/>
    <mergeCell ref="P20:Q20"/>
    <mergeCell ref="P45:Q45"/>
    <mergeCell ref="P41:Q41"/>
    <mergeCell ref="B43:B45"/>
    <mergeCell ref="P43:Q43"/>
    <mergeCell ref="P44:Q44"/>
    <mergeCell ref="P42:Q42"/>
    <mergeCell ref="P57:Q57"/>
    <mergeCell ref="P48:Q48"/>
    <mergeCell ref="P49:Q49"/>
    <mergeCell ref="P52:Q52"/>
    <mergeCell ref="P50:Q50"/>
    <mergeCell ref="P51:Q51"/>
    <mergeCell ref="P53:Q53"/>
    <mergeCell ref="P54:Q54"/>
    <mergeCell ref="P55:Q55"/>
    <mergeCell ref="P46:Q46"/>
    <mergeCell ref="P56:Q56"/>
    <mergeCell ref="A3:A10"/>
    <mergeCell ref="B3:B4"/>
    <mergeCell ref="B5:B7"/>
    <mergeCell ref="B8:B10"/>
    <mergeCell ref="A46:A50"/>
    <mergeCell ref="B46:B49"/>
    <mergeCell ref="B40:B41"/>
    <mergeCell ref="B14:B16"/>
    <mergeCell ref="A29:A39"/>
    <mergeCell ref="B36:B38"/>
    <mergeCell ref="B34:B35"/>
    <mergeCell ref="B29:B33"/>
    <mergeCell ref="P40:Q40"/>
    <mergeCell ref="A40:A45"/>
  </mergeCells>
  <dataValidations disablePrompts="1" count="1">
    <dataValidation type="list" allowBlank="1" showInputMessage="1" showErrorMessage="1" sqref="L1" xr:uid="{E842040C-D144-4A7B-A4EA-8B413FD88959}">
      <formula1>"Minnesota,Wisconsin"</formula1>
    </dataValidation>
  </dataValidations>
  <hyperlinks>
    <hyperlink ref="M12" r:id="rId1" xr:uid="{FD046960-7B8C-411E-8D9D-596CE9C40FBA}"/>
    <hyperlink ref="M13" r:id="rId2" xr:uid="{92404596-1AE5-49FB-9B83-87299FD69B3A}"/>
    <hyperlink ref="M14" r:id="rId3" xr:uid="{0BA40D25-B8DA-44CF-A7F9-EB518E95C75B}"/>
    <hyperlink ref="M15" r:id="rId4" xr:uid="{6583A6B1-9B08-4909-A15E-6C1E4AAA4AAF}"/>
    <hyperlink ref="M16" r:id="rId5" xr:uid="{0703875F-4050-486D-9B8A-C43A1F06BEAC}"/>
    <hyperlink ref="M24" r:id="rId6" xr:uid="{F2D9E07C-FD4F-405A-976B-7EFBB52BC599}"/>
    <hyperlink ref="M27" r:id="rId7" xr:uid="{B9DD26F4-4709-4E55-8DC5-B400A009CDFE}"/>
    <hyperlink ref="M17" r:id="rId8" display="https://www.nrel.gov/docs/fy24osti/88335.pdf" xr:uid="{EED56286-6AD2-4E52-99DC-E13CFBF80173}"/>
    <hyperlink ref="M18:M19" r:id="rId9" display="https://www.nrel.gov/docs/fy24osti/88335.pdf" xr:uid="{6A209680-2160-4FB1-9D10-414A9C88A726}"/>
    <hyperlink ref="M23" r:id="rId10" display="https://www.nrel.gov/docs/fy24osti/88335.pdf" xr:uid="{007E7286-666C-46FE-8A4C-7A69C61C62C7}"/>
    <hyperlink ref="M26" r:id="rId11" display="https://www.nrel.gov/docs/fy24osti/88335.pdf" xr:uid="{62FFB934-3D0D-4C00-91E2-ED484BD97187}"/>
    <hyperlink ref="M25" r:id="rId12" xr:uid="{1E55461C-2F92-4769-B572-74E33DCA4B84}"/>
    <hyperlink ref="M40" r:id="rId13" xr:uid="{20F9DC2E-39B9-4DD9-95D5-D1A26797AE95}"/>
    <hyperlink ref="M3" r:id="rId14" xr:uid="{DAB57947-129A-4A3B-B8D1-D173E657258A}"/>
    <hyperlink ref="M4" r:id="rId15" xr:uid="{3B499E2C-19B4-4161-B2C1-E4183918C94E}"/>
    <hyperlink ref="M10" r:id="rId16" xr:uid="{1FC0C718-1B7D-4E9B-9720-97180FE76F30}"/>
    <hyperlink ref="M8" r:id="rId17" display="https://www.nrel.gov/docs/fy24osti/88335.pdf" xr:uid="{202EC9E7-E5FF-4C1E-A5BC-1E34BF151632}"/>
    <hyperlink ref="M9" r:id="rId18" xr:uid="{6A40E842-915D-4C5F-A7CE-A5309265E3B1}"/>
    <hyperlink ref="M47" r:id="rId19" xr:uid="{B30E78B7-6DFE-405D-8131-4ADFEB9D2038}"/>
    <hyperlink ref="P47" r:id="rId20" xr:uid="{2C68906A-1697-4832-889B-4D67EDCE6101}"/>
    <hyperlink ref="M48" r:id="rId21" xr:uid="{3A5C4C8E-6AD0-48F9-A19B-E7A5A5A3BDCB}"/>
    <hyperlink ref="M38" r:id="rId22" xr:uid="{15B57D88-1F41-4923-AFEE-4129DEE219D6}"/>
    <hyperlink ref="M33" r:id="rId23" xr:uid="{755103AD-317D-48ED-AF4D-959FC41C888A}"/>
    <hyperlink ref="M42" r:id="rId24" xr:uid="{6651E21A-FD3E-46BC-9AE6-6A736B804119}"/>
    <hyperlink ref="O40" r:id="rId25" xr:uid="{02A83E5C-5C35-4427-8331-DB69C38AF0B4}"/>
    <hyperlink ref="M5" r:id="rId26" xr:uid="{6C044B32-E5FA-4DE7-A6DF-36E96173AA30}"/>
    <hyperlink ref="M31" r:id="rId27" xr:uid="{F06FC88E-71DF-48FB-AED6-27C86D4A12FC}"/>
    <hyperlink ref="M30" r:id="rId28" xr:uid="{4231D539-82A2-49CF-B118-81FB16D7447E}"/>
    <hyperlink ref="O41" r:id="rId29" location=":~:text=Eight%20to%20twelve%20EVs%20per,geographic%20coverage%20becomes%20less%20critical." xr:uid="{310B24F3-9759-4C0D-B1DB-E08E433F9417}"/>
    <hyperlink ref="R40" r:id="rId30" xr:uid="{44B0FCCA-E4F6-4FAA-8FBB-3B41D560C72D}"/>
    <hyperlink ref="M35" r:id="rId31" xr:uid="{C35A28D4-2ABB-425C-AF6F-B22CFCA5C449}"/>
    <hyperlink ref="U8" r:id="rId32" xr:uid="{469CB4BC-CE51-4FA5-B9E1-343DCAA9393E}"/>
    <hyperlink ref="M46" r:id="rId33" display="Lawn Love" xr:uid="{23807844-E9C9-4C1D-A6D2-D38C38473B0C}"/>
    <hyperlink ref="M37" r:id="rId34" xr:uid="{C1CFBA00-7967-403E-B4BC-B29BF0F1FECD}"/>
    <hyperlink ref="M29" r:id="rId35" xr:uid="{19CDB75C-E990-4EAB-BB88-DC7B740D580B}"/>
    <hyperlink ref="M34" r:id="rId36" xr:uid="{9B803DF3-D547-4D7D-AF82-74D398C7F38C}"/>
    <hyperlink ref="Y35" r:id="rId37" display="https://4starelectric.com/why-you-should-upgrade-to-led-lights/" xr:uid="{D44CC23B-9F02-4CD2-8A2E-AD707EC1F6E6}"/>
    <hyperlink ref="Y31" r:id="rId38" display="https://www.homedepot.com/b/Lighting-Light-Bulbs-LED-Light-Bulbs/60-Watt/N-5yc1vZbm79Z1z1u6nl" xr:uid="{702E440B-DE1E-44E4-BBF5-FEA5FC96BCF3}"/>
    <hyperlink ref="M41" r:id="rId39" xr:uid="{CE3A425A-3EDA-4F4D-A12C-2CFF9EB43FBA}"/>
    <hyperlink ref="V10" r:id="rId40" xr:uid="{38A431D4-C89A-4725-8B1D-408E4055F65B}"/>
    <hyperlink ref="M50" r:id="rId41" xr:uid="{4912225E-B6C0-48BB-B32A-D22C16132F00}"/>
    <hyperlink ref="Z6" r:id="rId42" display="https://atb.nrel.gov/electricity/2022/geothermal" xr:uid="{6601A416-12F2-4F1D-9D36-01140FB66354}"/>
    <hyperlink ref="M6" r:id="rId43" xr:uid="{0095DB59-245F-43DC-BD75-0761A7D6C172}"/>
    <hyperlink ref="M7" r:id="rId44" xr:uid="{3B7DF0A3-DB47-4107-B167-69CBA736C0E0}"/>
    <hyperlink ref="O42" r:id="rId45" xr:uid="{2E19A5F9-89DD-4B55-AC0C-F50AD62BE5A4}"/>
  </hyperlinks>
  <pageMargins left="0.7" right="0.7" top="0.75" bottom="0.75" header="0.3" footer="0.3"/>
  <pageSetup paperSize="0" orientation="portrait" r:id="rId46"/>
  <legacyDrawing r:id="rId4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E0F85-818C-4140-884D-0D974AD96A89}">
  <sheetPr>
    <tabColor theme="8"/>
  </sheetPr>
  <dimension ref="A1:T470"/>
  <sheetViews>
    <sheetView workbookViewId="0">
      <pane ySplit="1" topLeftCell="A2" activePane="bottomLeft" state="frozen"/>
      <selection activeCell="H37" sqref="H37"/>
      <selection pane="bottomLeft" activeCell="H37" sqref="H37"/>
    </sheetView>
  </sheetViews>
  <sheetFormatPr defaultRowHeight="14.25" x14ac:dyDescent="0.65"/>
  <cols>
    <col min="1" max="1" width="22.5" customWidth="1"/>
    <col min="2" max="2" width="19.375" bestFit="1" customWidth="1"/>
    <col min="3" max="3" width="16.875" bestFit="1" customWidth="1"/>
    <col min="4" max="4" width="23.5" bestFit="1" customWidth="1"/>
    <col min="5" max="5" width="21.25" bestFit="1" customWidth="1"/>
    <col min="6" max="6" width="20.25" bestFit="1" customWidth="1"/>
    <col min="7" max="7" width="18.25" customWidth="1"/>
    <col min="8" max="8" width="16.25" bestFit="1" customWidth="1"/>
    <col min="9" max="9" width="14.75" customWidth="1"/>
    <col min="10" max="10" width="8.75" style="59"/>
    <col min="11" max="11" width="12.25" customWidth="1"/>
    <col min="12" max="12" width="32.375" bestFit="1" customWidth="1"/>
    <col min="13" max="14" width="17" customWidth="1"/>
    <col min="15" max="15" width="12.25" customWidth="1"/>
    <col min="17" max="17" width="9.875" bestFit="1" customWidth="1"/>
    <col min="16368" max="16368" width="9" bestFit="1" customWidth="1"/>
    <col min="16369" max="16384" width="9" customWidth="1"/>
  </cols>
  <sheetData>
    <row r="1" spans="1:16" ht="20.5" x14ac:dyDescent="0.9">
      <c r="A1" s="326" t="s">
        <v>499</v>
      </c>
      <c r="B1" s="326" t="str">
        <f>'Tribal Measure Tool'!H6</f>
        <v>Type Name Here</v>
      </c>
      <c r="C1" s="326" t="s">
        <v>531</v>
      </c>
      <c r="D1" s="326">
        <f>VLOOKUP(B1,'Tool Reference'!A11:H11,8,FALSE)</f>
        <v>0</v>
      </c>
      <c r="E1" s="559" t="s">
        <v>504</v>
      </c>
      <c r="F1" s="326"/>
      <c r="G1" s="343">
        <f>'Tribal Measure Tool'!E5</f>
        <v>1216</v>
      </c>
      <c r="H1" t="s">
        <v>950</v>
      </c>
      <c r="I1" s="560">
        <v>1213</v>
      </c>
      <c r="K1" s="326" t="s">
        <v>635</v>
      </c>
    </row>
    <row r="2" spans="1:16" s="316" customFormat="1" ht="21" x14ac:dyDescent="0.65">
      <c r="A2" s="336">
        <v>1</v>
      </c>
      <c r="B2" s="336">
        <v>2</v>
      </c>
      <c r="C2" s="336">
        <v>3</v>
      </c>
      <c r="D2" s="336">
        <v>4</v>
      </c>
      <c r="E2" s="336">
        <v>5</v>
      </c>
      <c r="F2" s="336">
        <v>6</v>
      </c>
      <c r="G2" s="336">
        <v>7</v>
      </c>
      <c r="H2" s="336">
        <v>8</v>
      </c>
      <c r="I2" s="336">
        <v>9</v>
      </c>
      <c r="J2" s="346"/>
      <c r="K2" s="553">
        <v>1</v>
      </c>
      <c r="L2" s="553">
        <v>2</v>
      </c>
      <c r="M2" s="553">
        <v>3</v>
      </c>
      <c r="N2" s="553">
        <v>4</v>
      </c>
      <c r="O2" s="553">
        <v>5</v>
      </c>
    </row>
    <row r="3" spans="1:16" s="59" customFormat="1" ht="58" x14ac:dyDescent="0.7">
      <c r="A3" s="333" t="s">
        <v>655</v>
      </c>
      <c r="H3" s="344"/>
      <c r="I3" s="344"/>
      <c r="J3" s="344"/>
      <c r="K3" s="345" t="s">
        <v>357</v>
      </c>
      <c r="L3" s="345" t="s">
        <v>532</v>
      </c>
      <c r="M3" s="345" t="s">
        <v>956</v>
      </c>
      <c r="N3" s="345" t="s">
        <v>955</v>
      </c>
      <c r="O3" s="345" t="s">
        <v>534</v>
      </c>
    </row>
    <row r="4" spans="1:16" s="12" customFormat="1" ht="58" x14ac:dyDescent="0.7">
      <c r="A4" s="16" t="s">
        <v>1233</v>
      </c>
      <c r="C4" s="16" t="s">
        <v>535</v>
      </c>
      <c r="D4" s="16" t="s">
        <v>536</v>
      </c>
      <c r="E4" s="16" t="s">
        <v>537</v>
      </c>
      <c r="F4" s="16" t="s">
        <v>538</v>
      </c>
      <c r="G4" s="16" t="s">
        <v>539</v>
      </c>
      <c r="H4" s="16" t="s">
        <v>1035</v>
      </c>
      <c r="I4" s="16" t="s">
        <v>540</v>
      </c>
      <c r="J4" s="16" t="s">
        <v>502</v>
      </c>
      <c r="K4" s="347"/>
      <c r="L4" t="s">
        <v>924</v>
      </c>
      <c r="M4" t="s">
        <v>355</v>
      </c>
      <c r="N4" s="8">
        <v>311.80332900000002</v>
      </c>
      <c r="O4">
        <v>10.946201500000001</v>
      </c>
      <c r="P4" s="242">
        <v>4611660</v>
      </c>
    </row>
    <row r="5" spans="1:16" x14ac:dyDescent="0.65">
      <c r="A5" s="323">
        <f>'Tribal Measure Tool'!H18+('Tribal Measure Tool'!J18)</f>
        <v>0</v>
      </c>
      <c r="C5" s="339" t="e">
        <f>(VLOOKUP($D$1,$L$4:$P$6,3,FALSE)+VLOOKUP($D$1,$L$7:$P$9,3,FALSE)+VLOOKUP($D$1,$L$13:$P$15,3,FALSE)+VLOOKUP($D$1,$L$16:$P$18,3,FALSE)+VLOOKUP($D$1,$L$19:$P$21,3,FALSE)+VLOOKUP($D$1,$L$22:$P$24,3,FALSE))/VLOOKUP($D$1,$L$4:$P$6,5,FALSE)</f>
        <v>#N/A</v>
      </c>
      <c r="D5" s="339" t="e">
        <f>(VLOOKUP($D$1,$L$4:$P$6,4,FALSE)+VLOOKUP($D$1,$L$7:$P$9,4,FALSE)+VLOOKUP($D$1,$L$13:$P$15,4,FALSE)+VLOOKUP($D$1,$L$16:$P$18,4,FALSE)+VLOOKUP($D$1,$L$19:$P$21,4,FALSE)+VLOOKUP($D$1,$L$22:$P$24,4,FALSE))/VLOOKUP($D$1,$L$4:$P$6,5,FALSE)</f>
        <v>#N/A</v>
      </c>
      <c r="E5" s="339" t="e">
        <f>C5*1000</f>
        <v>#N/A</v>
      </c>
      <c r="F5" s="315" t="e">
        <f>((D5*1000000000000)/1000)*Factors!$N$38</f>
        <v>#N/A</v>
      </c>
      <c r="G5" s="315" t="e">
        <f>(E5+F5)*$G$1</f>
        <v>#N/A</v>
      </c>
      <c r="H5" s="20">
        <v>1.3</v>
      </c>
      <c r="I5" s="159" t="e">
        <f>(G5*Factors!$N$27)*H5</f>
        <v>#N/A</v>
      </c>
      <c r="J5" s="8" t="e">
        <f>I5*A5</f>
        <v>#N/A</v>
      </c>
      <c r="K5" s="59"/>
      <c r="L5" t="s">
        <v>347</v>
      </c>
      <c r="M5" t="s">
        <v>355</v>
      </c>
      <c r="N5" s="8">
        <v>146.75454309999901</v>
      </c>
      <c r="O5">
        <v>4.1743293439999896</v>
      </c>
      <c r="P5" s="242">
        <v>2547955</v>
      </c>
    </row>
    <row r="6" spans="1:16" ht="28.5" customHeight="1" x14ac:dyDescent="0.65">
      <c r="A6" s="490" t="e">
        <f>'Summary PCAP Table'!N23+('Summary PCAP Table'!O23)</f>
        <v>#REF!</v>
      </c>
      <c r="B6" s="498"/>
      <c r="C6" s="533">
        <f>(AVERAGE(N5:N6)+AVERAGE(N8:N9)+AVERAGE(N13:N14)+AVERAGE(N17:N18)+AVERAGE(N20:N21)+AVERAGE(N23:N24))/AVERAGE($P$5:$P$6)</f>
        <v>5.3544759696743651E-4</v>
      </c>
      <c r="D6" s="533">
        <f>(AVERAGE(O5:O6)+AVERAGE(O8:O9)+AVERAGE(O13:O14)+AVERAGE(O17:O18)+AVERAGE(O20:O21)+AVERAGE(O23:O24))/AVERAGE($P$5:$P$6)</f>
        <v>1.4565551802205786E-5</v>
      </c>
      <c r="E6" s="533">
        <f>C6*1000</f>
        <v>0.53544759696743649</v>
      </c>
      <c r="F6" s="496">
        <f>((D6*1000000000000)/1000)*Factors!$N$38</f>
        <v>4.268742288779432</v>
      </c>
      <c r="G6" s="496">
        <f>(E6+F6)*I1</f>
        <v>5827.4823314109517</v>
      </c>
      <c r="H6" s="497">
        <v>1.3</v>
      </c>
      <c r="I6" s="522">
        <f>(G6*Factors!$N$27)*H6</f>
        <v>3.4362891753701637</v>
      </c>
      <c r="J6" s="490" t="e">
        <f>I6*A6</f>
        <v>#REF!</v>
      </c>
      <c r="K6" s="59"/>
      <c r="L6" t="s">
        <v>356</v>
      </c>
      <c r="M6" t="s">
        <v>355</v>
      </c>
      <c r="N6" s="8">
        <v>98.293522300000006</v>
      </c>
      <c r="O6">
        <v>5.1761886879999999</v>
      </c>
      <c r="P6" s="242">
        <v>2770583</v>
      </c>
    </row>
    <row r="7" spans="1:16" ht="21" x14ac:dyDescent="0.65">
      <c r="A7" s="1243" t="s">
        <v>951</v>
      </c>
      <c r="B7" s="344"/>
      <c r="C7" s="344"/>
      <c r="D7" s="59"/>
      <c r="E7" s="59"/>
      <c r="F7" s="59"/>
      <c r="G7" s="59"/>
      <c r="H7" s="59"/>
      <c r="I7" s="59"/>
      <c r="K7" s="59"/>
      <c r="L7" t="s">
        <v>924</v>
      </c>
      <c r="M7" t="s">
        <v>353</v>
      </c>
      <c r="N7" s="8">
        <v>1040.5191319999999</v>
      </c>
      <c r="O7">
        <v>47.867023750000001</v>
      </c>
      <c r="P7" s="242">
        <v>4611660</v>
      </c>
    </row>
    <row r="8" spans="1:16" ht="58" x14ac:dyDescent="0.7">
      <c r="A8" s="340" t="s">
        <v>1233</v>
      </c>
      <c r="B8" s="1244"/>
      <c r="C8" s="1251" t="s">
        <v>565</v>
      </c>
      <c r="D8" s="16" t="s">
        <v>564</v>
      </c>
      <c r="E8" s="16" t="s">
        <v>570</v>
      </c>
      <c r="I8" s="16" t="s">
        <v>502</v>
      </c>
      <c r="K8" s="59"/>
      <c r="L8" t="s">
        <v>347</v>
      </c>
      <c r="M8" t="s">
        <v>353</v>
      </c>
      <c r="N8" s="8">
        <v>163.85306539999999</v>
      </c>
      <c r="O8">
        <v>5.0061821560000004</v>
      </c>
      <c r="P8" s="242">
        <v>2547955</v>
      </c>
    </row>
    <row r="9" spans="1:16" x14ac:dyDescent="0.65">
      <c r="A9" s="355">
        <f>'Tribal Measure Tool'!H19+'Tribal Measure Tool'!J19</f>
        <v>0</v>
      </c>
      <c r="B9" s="1244"/>
      <c r="C9" s="1245">
        <f>VLOOKUP($B$1,'Tool Reference'!$A$11:$S$11,13,FALSE)</f>
        <v>0</v>
      </c>
      <c r="D9" s="8">
        <f>A9*C9</f>
        <v>0</v>
      </c>
      <c r="E9" s="20">
        <f>$D$63</f>
        <v>5.6599999999999998E-2</v>
      </c>
      <c r="I9" s="8">
        <f>D9*E9</f>
        <v>0</v>
      </c>
      <c r="K9" s="59"/>
      <c r="L9" t="s">
        <v>356</v>
      </c>
      <c r="M9" t="s">
        <v>353</v>
      </c>
      <c r="N9" s="8">
        <v>178.3107157</v>
      </c>
      <c r="O9">
        <v>6.9379006879999903</v>
      </c>
      <c r="P9" s="242">
        <v>2770583</v>
      </c>
    </row>
    <row r="10" spans="1:16" ht="14.5" x14ac:dyDescent="0.7">
      <c r="A10" s="493" t="e">
        <f>'Summary PCAP Table'!P21</f>
        <v>#REF!</v>
      </c>
      <c r="B10" s="489"/>
      <c r="C10" s="496" t="e">
        <f>SUM('Tool Reference'!#REF!)/SUM('Tool Reference'!#REF!)</f>
        <v>#REF!</v>
      </c>
      <c r="D10" s="490" t="e">
        <f>A10*C10</f>
        <v>#REF!</v>
      </c>
      <c r="E10" s="497">
        <f>$D$63</f>
        <v>5.6599999999999998E-2</v>
      </c>
      <c r="F10" s="491"/>
      <c r="G10" s="489"/>
      <c r="H10" s="489"/>
      <c r="I10" s="490" t="e">
        <f>D10*E10</f>
        <v>#REF!</v>
      </c>
      <c r="K10" s="59"/>
      <c r="L10" t="s">
        <v>924</v>
      </c>
      <c r="M10" t="s">
        <v>349</v>
      </c>
      <c r="N10" s="8">
        <v>1686.1834120000001</v>
      </c>
      <c r="O10">
        <v>-3.4428794759999999</v>
      </c>
      <c r="P10" s="242">
        <v>4611660</v>
      </c>
    </row>
    <row r="11" spans="1:16" ht="21" x14ac:dyDescent="0.65">
      <c r="A11" s="333" t="s">
        <v>393</v>
      </c>
      <c r="B11" s="59"/>
      <c r="C11" s="59"/>
      <c r="D11" s="59"/>
      <c r="E11" s="59"/>
      <c r="F11" s="59"/>
      <c r="G11" s="59"/>
      <c r="H11" s="59"/>
      <c r="I11" s="59"/>
      <c r="K11" s="59"/>
      <c r="L11" t="s">
        <v>347</v>
      </c>
      <c r="M11" t="s">
        <v>349</v>
      </c>
      <c r="N11" s="8">
        <v>910.39993070000003</v>
      </c>
      <c r="O11">
        <v>-1.8279054450000001</v>
      </c>
      <c r="P11" s="242">
        <v>2547955</v>
      </c>
    </row>
    <row r="12" spans="1:16" ht="43.5" x14ac:dyDescent="0.7">
      <c r="A12" s="16" t="s">
        <v>1289</v>
      </c>
      <c r="B12" s="16" t="s">
        <v>542</v>
      </c>
      <c r="C12" s="16" t="s">
        <v>929</v>
      </c>
      <c r="D12" s="16" t="s">
        <v>543</v>
      </c>
      <c r="E12" s="16" t="s">
        <v>930</v>
      </c>
      <c r="F12" s="16" t="s">
        <v>931</v>
      </c>
      <c r="G12" s="16" t="s">
        <v>539</v>
      </c>
      <c r="H12" s="16" t="s">
        <v>540</v>
      </c>
      <c r="I12" s="16" t="s">
        <v>502</v>
      </c>
      <c r="K12" s="59"/>
      <c r="L12" t="s">
        <v>356</v>
      </c>
      <c r="M12" t="s">
        <v>349</v>
      </c>
      <c r="N12" s="8">
        <v>1046.7047619999901</v>
      </c>
      <c r="O12">
        <v>-2.229351141</v>
      </c>
      <c r="P12" s="242">
        <v>2770583</v>
      </c>
    </row>
    <row r="13" spans="1:16" x14ac:dyDescent="0.65">
      <c r="A13" s="323">
        <f>'Tribal Measure Tool'!H21+'Tribal Measure Tool'!J21</f>
        <v>0</v>
      </c>
      <c r="B13" s="339" t="e">
        <f>(VLOOKUP($D$1,$L$10:$P$12,3,FALSE)/VLOOKUP($D$1,$L$10:$P$12,5,FALSE))</f>
        <v>#N/A</v>
      </c>
      <c r="C13" s="551" t="e">
        <f>(VLOOKUP($D$1,$L$10:$P$12,4,FALSE)/VLOOKUP($D$1,$L$10:$P$12,5,FALSE))</f>
        <v>#N/A</v>
      </c>
      <c r="D13" s="339" t="e">
        <f>B13*1000</f>
        <v>#N/A</v>
      </c>
      <c r="E13" t="e">
        <f>(C13*1000000)/3.412142</f>
        <v>#N/A</v>
      </c>
      <c r="F13" s="339" t="e">
        <f>D13+E13</f>
        <v>#N/A</v>
      </c>
      <c r="G13" t="e">
        <f>F13*$G$1</f>
        <v>#N/A</v>
      </c>
      <c r="H13" s="334" t="e">
        <f>G13*Factors!$N$27</f>
        <v>#N/A</v>
      </c>
      <c r="I13" s="8" t="e">
        <f>H13*A13</f>
        <v>#N/A</v>
      </c>
      <c r="K13" s="59"/>
      <c r="L13" t="s">
        <v>924</v>
      </c>
      <c r="M13" t="s">
        <v>351</v>
      </c>
      <c r="N13" s="8">
        <v>502.366628899999</v>
      </c>
      <c r="O13">
        <v>7.1468264989999897</v>
      </c>
      <c r="P13" s="242">
        <v>4611660</v>
      </c>
    </row>
    <row r="14" spans="1:16" ht="14.5" x14ac:dyDescent="0.7">
      <c r="A14" s="493" t="e">
        <f>'Summary PCAP Table'!N25+('Summary PCAP Table'!O25)</f>
        <v>#REF!</v>
      </c>
      <c r="B14" s="533">
        <f>AVERAGE(N11:N12)/AVERAGE(P11:P12)</f>
        <v>3.6797794670264463E-4</v>
      </c>
      <c r="C14" s="552">
        <f>AVERAGE(O11:O12)/AVERAGE(P11:P12)</f>
        <v>-7.6285185628080507E-7</v>
      </c>
      <c r="D14" s="533">
        <f>B14*1000</f>
        <v>0.36797794670264461</v>
      </c>
      <c r="E14" s="498">
        <f>(C14*1000000)/3.412142</f>
        <v>-0.22356978586495085</v>
      </c>
      <c r="F14" s="533">
        <f>D14+E14</f>
        <v>0.14440816083769376</v>
      </c>
      <c r="G14" s="498">
        <f>(F14)*I1</f>
        <v>175.16709909612251</v>
      </c>
      <c r="H14" s="534">
        <f>G14*Factors!$N$27</f>
        <v>7.9454394813208401E-2</v>
      </c>
      <c r="I14" s="490" t="e">
        <f>H14*A14</f>
        <v>#REF!</v>
      </c>
      <c r="K14" s="59"/>
      <c r="L14" t="s">
        <v>347</v>
      </c>
      <c r="M14" t="s">
        <v>351</v>
      </c>
      <c r="N14" s="8">
        <v>343.812818399999</v>
      </c>
      <c r="O14">
        <v>4.1040812180000001</v>
      </c>
      <c r="P14" s="242">
        <v>2547955</v>
      </c>
    </row>
    <row r="15" spans="1:16" ht="21" x14ac:dyDescent="0.65">
      <c r="A15" s="1243" t="s">
        <v>405</v>
      </c>
      <c r="B15" s="59"/>
      <c r="C15" s="59"/>
      <c r="D15" s="59"/>
      <c r="E15" s="59"/>
      <c r="F15" s="59"/>
      <c r="G15" s="59"/>
      <c r="H15" s="59"/>
      <c r="I15" s="59"/>
      <c r="K15" s="59"/>
      <c r="L15" t="s">
        <v>356</v>
      </c>
      <c r="M15" t="s">
        <v>351</v>
      </c>
      <c r="N15" s="8">
        <v>233.49621400000001</v>
      </c>
      <c r="O15">
        <v>4.6977499060000003</v>
      </c>
      <c r="P15" s="242">
        <v>2770583</v>
      </c>
    </row>
    <row r="16" spans="1:16" ht="58" x14ac:dyDescent="0.7">
      <c r="A16" s="16" t="s">
        <v>1233</v>
      </c>
      <c r="B16" s="16" t="s">
        <v>1018</v>
      </c>
      <c r="C16" s="1251" t="s">
        <v>1016</v>
      </c>
      <c r="D16" s="16" t="s">
        <v>1017</v>
      </c>
      <c r="E16" s="16" t="s">
        <v>564</v>
      </c>
      <c r="F16" s="340" t="s">
        <v>960</v>
      </c>
      <c r="I16" s="16" t="s">
        <v>502</v>
      </c>
      <c r="K16" s="59"/>
      <c r="L16" t="s">
        <v>924</v>
      </c>
      <c r="M16" t="s">
        <v>350</v>
      </c>
      <c r="N16" s="8">
        <v>662.81365970000002</v>
      </c>
      <c r="O16">
        <v>25.059559688</v>
      </c>
      <c r="P16" s="242">
        <v>4611660</v>
      </c>
    </row>
    <row r="17" spans="1:16" x14ac:dyDescent="0.65">
      <c r="A17" s="499">
        <f>'Tribal Measure Tool'!H28+'Tribal Measure Tool'!J28</f>
        <v>0</v>
      </c>
      <c r="B17" s="499">
        <f>'Tribal Measure Tool'!J28</f>
        <v>0</v>
      </c>
      <c r="C17" s="8">
        <f>VLOOKUP($B$1,'Tool Reference'!$A$11:$N$11,14,FALSE)</f>
        <v>0</v>
      </c>
      <c r="D17" s="8">
        <f>VLOOKUP($B$1,'Tool Reference'!$A$11:$S$11,11,FALSE)</f>
        <v>0</v>
      </c>
      <c r="E17" s="8">
        <f>A17*C17+B17*D17</f>
        <v>0</v>
      </c>
      <c r="F17" s="20">
        <v>0.15</v>
      </c>
      <c r="I17" s="8">
        <f>E17*F17</f>
        <v>0</v>
      </c>
      <c r="K17" s="59"/>
      <c r="L17" t="s">
        <v>347</v>
      </c>
      <c r="M17" t="s">
        <v>350</v>
      </c>
      <c r="N17" s="8">
        <v>568.80425852999997</v>
      </c>
      <c r="O17">
        <v>15.136533125</v>
      </c>
      <c r="P17" s="242">
        <v>2547955</v>
      </c>
    </row>
    <row r="18" spans="1:16" x14ac:dyDescent="0.65">
      <c r="A18" s="490" t="e">
        <f>'Summary PCAP Table'!P27</f>
        <v>#REF!</v>
      </c>
      <c r="B18" s="498" t="e">
        <f>'Summary PCAP Table'!Q27</f>
        <v>#REF!</v>
      </c>
      <c r="C18" s="490">
        <f>'Tool Reference'!N15</f>
        <v>8.7194561221064983</v>
      </c>
      <c r="D18" s="490">
        <f>'Tool Reference'!K15</f>
        <v>237.2551724137931</v>
      </c>
      <c r="E18" s="490" t="e">
        <f>A18*C18+B18*D18</f>
        <v>#REF!</v>
      </c>
      <c r="F18" s="470">
        <f>F17</f>
        <v>0.15</v>
      </c>
      <c r="G18" s="498"/>
      <c r="H18" s="498"/>
      <c r="I18" s="490" t="e">
        <f>E18*F18</f>
        <v>#REF!</v>
      </c>
      <c r="K18" s="59"/>
      <c r="L18" t="s">
        <v>356</v>
      </c>
      <c r="M18" t="s">
        <v>350</v>
      </c>
      <c r="N18" s="8">
        <v>215.23587585000001</v>
      </c>
      <c r="O18">
        <v>15.151539187999999</v>
      </c>
      <c r="P18" s="242">
        <v>2770583</v>
      </c>
    </row>
    <row r="19" spans="1:16" ht="14.5" x14ac:dyDescent="0.7">
      <c r="A19" s="16"/>
      <c r="B19" s="16"/>
      <c r="C19" s="16"/>
      <c r="E19" s="16"/>
      <c r="K19" s="59"/>
      <c r="L19" t="s">
        <v>924</v>
      </c>
      <c r="M19" t="s">
        <v>354</v>
      </c>
      <c r="N19" s="8">
        <v>346.59822009999999</v>
      </c>
      <c r="O19">
        <v>14.440476688</v>
      </c>
      <c r="P19" s="242">
        <v>4611660</v>
      </c>
    </row>
    <row r="20" spans="1:16" x14ac:dyDescent="0.65">
      <c r="C20" s="315"/>
      <c r="G20" s="339"/>
      <c r="H20" s="334"/>
      <c r="K20" s="59"/>
      <c r="L20" t="s">
        <v>347</v>
      </c>
      <c r="M20" t="s">
        <v>354</v>
      </c>
      <c r="N20" s="8">
        <v>152.795679699999</v>
      </c>
      <c r="O20">
        <v>4.11754525</v>
      </c>
      <c r="P20" s="242">
        <v>2547955</v>
      </c>
    </row>
    <row r="21" spans="1:16" x14ac:dyDescent="0.65">
      <c r="K21" s="59"/>
      <c r="L21" t="s">
        <v>356</v>
      </c>
      <c r="M21" t="s">
        <v>354</v>
      </c>
      <c r="N21" s="8">
        <v>121.24816180000001</v>
      </c>
      <c r="O21">
        <v>5.1757862189999999</v>
      </c>
      <c r="P21" s="242">
        <v>2770583</v>
      </c>
    </row>
    <row r="22" spans="1:16" ht="21" x14ac:dyDescent="0.65">
      <c r="A22" s="333" t="s">
        <v>367</v>
      </c>
      <c r="B22" s="59"/>
      <c r="C22" s="59"/>
      <c r="D22" s="59"/>
      <c r="E22" s="59"/>
      <c r="F22" s="59"/>
      <c r="G22" s="59"/>
      <c r="H22" s="59"/>
      <c r="I22" s="59"/>
      <c r="K22" s="59"/>
      <c r="L22" t="s">
        <v>924</v>
      </c>
      <c r="M22" t="s">
        <v>935</v>
      </c>
      <c r="N22" s="8">
        <v>510.26555180000003</v>
      </c>
      <c r="O22">
        <v>10.833827250000001</v>
      </c>
      <c r="P22" s="242">
        <v>4611660</v>
      </c>
    </row>
    <row r="23" spans="1:16" ht="58" x14ac:dyDescent="0.7">
      <c r="A23" s="16" t="s">
        <v>557</v>
      </c>
      <c r="B23" s="556" t="s">
        <v>568</v>
      </c>
      <c r="C23" s="16" t="s">
        <v>565</v>
      </c>
      <c r="D23" s="16" t="s">
        <v>947</v>
      </c>
      <c r="E23" s="16" t="s">
        <v>948</v>
      </c>
      <c r="F23" s="16" t="s">
        <v>914</v>
      </c>
      <c r="G23" s="556" t="s">
        <v>569</v>
      </c>
      <c r="H23" s="16"/>
      <c r="I23" s="16" t="s">
        <v>502</v>
      </c>
      <c r="K23" s="59"/>
      <c r="L23" t="s">
        <v>347</v>
      </c>
      <c r="M23" t="s">
        <v>935</v>
      </c>
      <c r="N23" s="8">
        <v>178.16156090000001</v>
      </c>
      <c r="O23">
        <v>2.670264188</v>
      </c>
      <c r="P23" s="242">
        <v>2547955</v>
      </c>
    </row>
    <row r="24" spans="1:16" x14ac:dyDescent="0.65">
      <c r="A24" s="323">
        <f>'Tribal Measure Tool'!H24</f>
        <v>0</v>
      </c>
      <c r="B24" s="557">
        <f>VLOOKUP($B$1,'Tool Reference'!A11:S11,9,FALSE)</f>
        <v>0</v>
      </c>
      <c r="C24" s="315">
        <f>VLOOKUP($B$1,'Tool Reference'!$A$11:$S$11,10,FALSE)</f>
        <v>0</v>
      </c>
      <c r="D24" s="8">
        <f>B24*A24</f>
        <v>0</v>
      </c>
      <c r="E24" s="8">
        <f>C24*A24</f>
        <v>0</v>
      </c>
      <c r="F24" s="439" t="e">
        <f>(VLOOKUP($D$1,$L$42:$P$44,3,FALSE)+VLOOKUP($D$1,$L$51:$P$53,3,FALSE)+VLOOKUP($D$1,$L$60:$P$62,3,FALSE))/100</f>
        <v>#N/A</v>
      </c>
      <c r="G24" s="558" t="e">
        <f>(VLOOKUP($D$1,$L$42:$P$44,4,FALSE)+VLOOKUP($D$1,$L$51:$P$53,4,FALSE)+VLOOKUP($D$1,$L$60:$P$62,4,FALSE))/100</f>
        <v>#N/A</v>
      </c>
      <c r="H24" s="1235"/>
      <c r="I24" s="315" t="e">
        <f>(D24*F24)+(E24*G24)</f>
        <v>#N/A</v>
      </c>
      <c r="K24" s="59"/>
      <c r="L24" t="s">
        <v>356</v>
      </c>
      <c r="M24" t="s">
        <v>935</v>
      </c>
      <c r="N24" s="11">
        <v>178.16156090000001</v>
      </c>
      <c r="O24" s="298">
        <v>2.670264188</v>
      </c>
      <c r="P24" s="555">
        <v>2547955</v>
      </c>
    </row>
    <row r="25" spans="1:16" ht="14.5" x14ac:dyDescent="0.7">
      <c r="A25" s="489" t="e">
        <f>'Summary PCAP Table'!Q24</f>
        <v>#REF!</v>
      </c>
      <c r="B25" s="493" t="e">
        <f>SUM('Tool Reference'!#REF!)/SUM('Tool Reference'!#REF!)</f>
        <v>#REF!</v>
      </c>
      <c r="C25" s="493" t="e">
        <f>SUM('Tool Reference'!#REF!)/SUM('Tool Reference'!#REF!)</f>
        <v>#REF!</v>
      </c>
      <c r="D25" s="490" t="e">
        <f>B25*A25</f>
        <v>#REF!</v>
      </c>
      <c r="E25" s="490" t="e">
        <f>C25*A25</f>
        <v>#REF!</v>
      </c>
      <c r="F25" s="532">
        <f>(AVERAGE(N42:N43)+AVERAGE(N51:N52)+AVERAGE(N60:N61))/100</f>
        <v>4.0500000000000008E-2</v>
      </c>
      <c r="G25" s="532">
        <f>(AVERAGE(O42:O43)+AVERAGE(O51:O52)+AVERAGE(O60:O61))/100</f>
        <v>6.5000000000000002E-2</v>
      </c>
      <c r="H25" s="489"/>
      <c r="I25" s="496" t="e">
        <f>(D25*F25)+(E25*G25)</f>
        <v>#REF!</v>
      </c>
      <c r="K25" s="59"/>
      <c r="L25" t="s">
        <v>924</v>
      </c>
      <c r="M25" t="s">
        <v>352</v>
      </c>
      <c r="N25" s="8">
        <v>419.4453949</v>
      </c>
      <c r="O25">
        <v>13.695154280000001</v>
      </c>
      <c r="P25" s="242">
        <v>4611660</v>
      </c>
    </row>
    <row r="26" spans="1:16" ht="21" x14ac:dyDescent="0.65">
      <c r="A26" s="333" t="s">
        <v>394</v>
      </c>
      <c r="B26" s="59"/>
      <c r="C26" s="59"/>
      <c r="D26" s="59"/>
      <c r="E26" s="59"/>
      <c r="F26" s="59"/>
      <c r="G26" s="59"/>
      <c r="H26" s="59"/>
      <c r="I26" s="59"/>
      <c r="K26" s="59"/>
      <c r="L26" t="s">
        <v>347</v>
      </c>
      <c r="M26" t="s">
        <v>352</v>
      </c>
      <c r="N26" s="8">
        <v>274.74049880000001</v>
      </c>
      <c r="O26">
        <v>6.5449244689999997</v>
      </c>
      <c r="P26" s="242">
        <v>2547955</v>
      </c>
    </row>
    <row r="27" spans="1:16" ht="58" x14ac:dyDescent="0.7">
      <c r="A27" s="16" t="s">
        <v>557</v>
      </c>
      <c r="C27" s="16" t="s">
        <v>565</v>
      </c>
      <c r="D27" s="16" t="s">
        <v>564</v>
      </c>
      <c r="E27" s="16" t="s">
        <v>567</v>
      </c>
      <c r="F27" s="16"/>
      <c r="G27" s="16" t="e">
        <f>A24*((D24*F24)+(E24*G24))</f>
        <v>#N/A</v>
      </c>
      <c r="H27" s="16"/>
      <c r="I27" s="16" t="s">
        <v>502</v>
      </c>
      <c r="K27" s="59"/>
      <c r="L27" t="s">
        <v>356</v>
      </c>
      <c r="M27" t="s">
        <v>352</v>
      </c>
      <c r="N27" s="8">
        <v>199.28385643999999</v>
      </c>
      <c r="O27">
        <v>7.6899511239999896</v>
      </c>
      <c r="P27" s="242">
        <v>2770583</v>
      </c>
    </row>
    <row r="28" spans="1:16" x14ac:dyDescent="0.65">
      <c r="A28" s="323">
        <f>'Tribal Measure Tool'!H26</f>
        <v>0</v>
      </c>
      <c r="C28" s="315">
        <f>VLOOKUP($B$1,'Tool Reference'!$A$11:$S$11,10,FALSE)</f>
        <v>0</v>
      </c>
      <c r="D28" s="8">
        <f>A28*C28</f>
        <v>0</v>
      </c>
      <c r="E28" s="439" t="e">
        <f>(VLOOKUP($D$1,$L$48:$P$50,3,FALSE)+VLOOKUP($D$1,$L$48:$P$50,4,FALSE) + VLOOKUP($D$1,$L$57:$P$59,3,FALSE)+VLOOKUP($D$1,$L$57:$P$59,4,FALSE))/100</f>
        <v>#N/A</v>
      </c>
      <c r="F28" s="439"/>
      <c r="H28" s="8"/>
      <c r="I28" s="8" t="e">
        <f>D28*E28</f>
        <v>#N/A</v>
      </c>
      <c r="K28" s="59"/>
      <c r="L28" t="s">
        <v>924</v>
      </c>
      <c r="M28" t="s">
        <v>348</v>
      </c>
      <c r="N28" s="8">
        <v>1427.964416</v>
      </c>
      <c r="O28" s="219">
        <v>-4.4499999999999997E-5</v>
      </c>
      <c r="P28" s="242">
        <v>4611660</v>
      </c>
    </row>
    <row r="29" spans="1:16" x14ac:dyDescent="0.65">
      <c r="A29" s="490" t="e">
        <f>'Summary PCAP Table'!Q25</f>
        <v>#REF!</v>
      </c>
      <c r="B29" s="498"/>
      <c r="C29" s="490" t="e">
        <f>SUM('Tool Reference'!#REF!)/SUM('Tool Reference'!#REF!)</f>
        <v>#REF!</v>
      </c>
      <c r="D29" s="490" t="e">
        <f>A29*C29</f>
        <v>#REF!</v>
      </c>
      <c r="E29" s="532">
        <f>(AVERAGE(N48:N49)+AVERAGE(O48:O49)+AVERAGE(N57:N58)+AVERAGE(O57:O58))/100</f>
        <v>0.10899999999999999</v>
      </c>
      <c r="F29" s="533"/>
      <c r="G29" s="498"/>
      <c r="H29" s="490"/>
      <c r="I29" s="490" t="e">
        <f>D29*E29</f>
        <v>#REF!</v>
      </c>
      <c r="K29" s="59"/>
      <c r="L29" t="s">
        <v>347</v>
      </c>
      <c r="M29" t="s">
        <v>348</v>
      </c>
      <c r="N29" s="8">
        <v>1030.015101</v>
      </c>
      <c r="O29">
        <v>-2.4740999999999999E-4</v>
      </c>
      <c r="P29" s="242">
        <v>2547955</v>
      </c>
    </row>
    <row r="30" spans="1:16" s="1" customFormat="1" ht="21" x14ac:dyDescent="0.7">
      <c r="A30" s="1243" t="s">
        <v>366</v>
      </c>
      <c r="B30" s="348"/>
      <c r="C30" s="348"/>
      <c r="D30" s="348"/>
      <c r="E30" s="348"/>
      <c r="F30" s="348"/>
      <c r="G30" s="348"/>
      <c r="H30" s="348"/>
      <c r="I30" s="348"/>
      <c r="J30" s="348"/>
      <c r="K30" s="59"/>
      <c r="L30" t="s">
        <v>356</v>
      </c>
      <c r="M30" t="s">
        <v>348</v>
      </c>
      <c r="N30" s="8">
        <v>601.02498800000001</v>
      </c>
      <c r="O30">
        <v>-2.209E-4</v>
      </c>
      <c r="P30" s="242">
        <v>2770583</v>
      </c>
    </row>
    <row r="31" spans="1:16" s="1" customFormat="1" ht="72.5" x14ac:dyDescent="0.7">
      <c r="A31" s="16" t="s">
        <v>1233</v>
      </c>
      <c r="B31" s="16" t="s">
        <v>557</v>
      </c>
      <c r="C31" s="1252" t="s">
        <v>575</v>
      </c>
      <c r="D31" s="16" t="s">
        <v>576</v>
      </c>
      <c r="E31" s="16" t="s">
        <v>577</v>
      </c>
      <c r="F31" s="1232" t="s">
        <v>1305</v>
      </c>
      <c r="G31" s="1232" t="s">
        <v>1306</v>
      </c>
      <c r="H31" s="1232" t="s">
        <v>1307</v>
      </c>
      <c r="I31" s="16" t="s">
        <v>1239</v>
      </c>
      <c r="J31" s="16" t="s">
        <v>1240</v>
      </c>
      <c r="K31" s="59"/>
      <c r="L31" s="553">
        <v>1</v>
      </c>
      <c r="M31" s="553">
        <v>2</v>
      </c>
      <c r="N31" s="553">
        <v>3</v>
      </c>
      <c r="O31" s="553">
        <v>4</v>
      </c>
      <c r="P31" s="553">
        <v>5</v>
      </c>
    </row>
    <row r="32" spans="1:16" s="1" customFormat="1" ht="58" x14ac:dyDescent="0.7">
      <c r="A32" s="323">
        <f>'Tribal Measure Tool'!H22+'Tribal Measure Tool'!J22</f>
        <v>0</v>
      </c>
      <c r="B32" s="323">
        <f>'Tribal Measure Tool'!H27</f>
        <v>0</v>
      </c>
      <c r="C32" s="315">
        <f>VLOOKUP($B$1,'Tool Reference'!A11:S11,14,FALSE)</f>
        <v>0</v>
      </c>
      <c r="D32" s="315">
        <f>VLOOKUP($B$1,'Tool Reference'!A11:S11,11,FALSE)</f>
        <v>0</v>
      </c>
      <c r="E32" s="20">
        <v>0.08</v>
      </c>
      <c r="F32" s="1233" t="e">
        <f>1000*(VLOOKUP($D$1,$L$25:$P$27,3,FALSE)/VLOOKUP($D$1,$L$25:$P$27,5,FALSE))</f>
        <v>#N/A</v>
      </c>
      <c r="G32" s="1233" t="e">
        <f>((VLOOKUP($D$1,$L$25:$P$27,4,FALSE)/VLOOKUP($D$1,$L$25:$P$27,5,FALSE)))*(1000000/3.412)</f>
        <v>#N/A</v>
      </c>
      <c r="H32" s="6" t="e">
        <f>((F32+G32)*$G$1*A32)*Factors!$N$27</f>
        <v>#N/A</v>
      </c>
      <c r="I32" s="8">
        <f>(A32*C32*E32)</f>
        <v>0</v>
      </c>
      <c r="J32" s="8">
        <f>+(B32*D32*E32)</f>
        <v>0</v>
      </c>
      <c r="K32" s="59"/>
      <c r="L32" s="345" t="s">
        <v>544</v>
      </c>
      <c r="M32" s="345" t="s">
        <v>532</v>
      </c>
      <c r="N32" s="345" t="s">
        <v>558</v>
      </c>
      <c r="O32" s="345" t="s">
        <v>559</v>
      </c>
      <c r="P32" s="345" t="s">
        <v>534</v>
      </c>
    </row>
    <row r="33" spans="1:16" s="1" customFormat="1" ht="14.5" x14ac:dyDescent="0.7">
      <c r="A33" s="493" t="e">
        <f>'Summary PCAP Table'!P26</f>
        <v>#REF!</v>
      </c>
      <c r="B33" s="493" t="e">
        <f>'Summary PCAP Table'!Q26</f>
        <v>#REF!</v>
      </c>
      <c r="C33" s="493" t="e">
        <f>SUM('Tool Reference'!#REF!)/SUM('Tool Reference'!#REF!)</f>
        <v>#REF!</v>
      </c>
      <c r="D33" s="490" t="e">
        <f>SUM('Tool Reference'!#REF!)/SUM('Tool Reference'!#REF!)</f>
        <v>#REF!</v>
      </c>
      <c r="E33" s="497">
        <f>E32</f>
        <v>0.08</v>
      </c>
      <c r="F33" s="497"/>
      <c r="G33" s="489"/>
      <c r="H33" s="489"/>
      <c r="I33" s="496" t="e">
        <f>((A33*C33)+(B33*D33))*E33</f>
        <v>#REF!</v>
      </c>
      <c r="J33" s="348"/>
      <c r="K33" s="59"/>
      <c r="L33" t="s">
        <v>347</v>
      </c>
      <c r="M33" t="s">
        <v>555</v>
      </c>
      <c r="N33">
        <v>8.3000000000000007</v>
      </c>
      <c r="O33">
        <v>5.6</v>
      </c>
      <c r="P33" s="242">
        <v>2547955</v>
      </c>
    </row>
    <row r="34" spans="1:16" s="1" customFormat="1" ht="21" x14ac:dyDescent="0.7">
      <c r="A34" s="1243" t="s">
        <v>365</v>
      </c>
      <c r="B34" s="59"/>
      <c r="C34" s="59"/>
      <c r="D34" s="59"/>
      <c r="E34" s="59"/>
      <c r="F34" s="59"/>
      <c r="G34" s="59"/>
      <c r="H34" s="59"/>
      <c r="I34" s="59"/>
      <c r="J34" s="348"/>
      <c r="K34" s="59"/>
      <c r="L34" t="s">
        <v>356</v>
      </c>
      <c r="M34" t="s">
        <v>555</v>
      </c>
      <c r="N34">
        <v>7.4</v>
      </c>
      <c r="O34">
        <v>6</v>
      </c>
      <c r="P34" s="242">
        <v>2770583</v>
      </c>
    </row>
    <row r="35" spans="1:16" ht="14.5" x14ac:dyDescent="0.7">
      <c r="A35" s="1"/>
      <c r="B35" s="1" t="s">
        <v>582</v>
      </c>
      <c r="C35" s="1" t="s">
        <v>583</v>
      </c>
      <c r="D35" s="1" t="s">
        <v>848</v>
      </c>
      <c r="E35" s="1" t="s">
        <v>584</v>
      </c>
      <c r="F35" s="1" t="s">
        <v>585</v>
      </c>
      <c r="G35" s="1" t="s">
        <v>586</v>
      </c>
      <c r="H35" s="1"/>
      <c r="I35" s="1"/>
      <c r="K35" s="59"/>
      <c r="L35" t="s">
        <v>924</v>
      </c>
      <c r="M35" t="s">
        <v>555</v>
      </c>
      <c r="N35">
        <v>7.6</v>
      </c>
      <c r="O35">
        <v>5.6</v>
      </c>
      <c r="P35" s="242">
        <v>4611660</v>
      </c>
    </row>
    <row r="36" spans="1:16" s="1" customFormat="1" ht="14.5" x14ac:dyDescent="0.7">
      <c r="A36" s="350" t="s">
        <v>97</v>
      </c>
      <c r="B36" s="12">
        <v>0.8</v>
      </c>
      <c r="C36" s="8">
        <f>VLOOKUP($B$1,'Tool Reference'!$A$11:$S$11,15,FALSE)</f>
        <v>0</v>
      </c>
      <c r="D36" s="8">
        <f>C36*Factors!N58</f>
        <v>0</v>
      </c>
      <c r="E36" s="8">
        <f>(C36*B36)/$B$40</f>
        <v>0</v>
      </c>
      <c r="F36" s="8">
        <f>E36*Factors!$N$58</f>
        <v>0</v>
      </c>
      <c r="G36" s="20" t="e">
        <f>(D36-F36)/D36</f>
        <v>#DIV/0!</v>
      </c>
      <c r="H36"/>
      <c r="I36"/>
      <c r="J36" s="348"/>
      <c r="K36" s="59"/>
      <c r="L36" t="s">
        <v>347</v>
      </c>
      <c r="M36" t="s">
        <v>554</v>
      </c>
      <c r="N36">
        <v>0.4</v>
      </c>
      <c r="O36">
        <v>-0.2</v>
      </c>
      <c r="P36" s="242">
        <v>2547955</v>
      </c>
    </row>
    <row r="37" spans="1:16" s="1" customFormat="1" ht="14.5" x14ac:dyDescent="0.7">
      <c r="A37" s="350" t="s">
        <v>98</v>
      </c>
      <c r="B37" s="12">
        <v>0.6</v>
      </c>
      <c r="C37" s="8">
        <f>VLOOKUP($B$1,'Tool Reference'!$A$11:$S$11,16,FALSE)</f>
        <v>0</v>
      </c>
      <c r="D37" s="8">
        <f>C37*Factors!N56</f>
        <v>0</v>
      </c>
      <c r="E37" s="8">
        <f>(C37*B37)/$B$40</f>
        <v>0</v>
      </c>
      <c r="F37" s="8">
        <f>E37*Factors!$N$58</f>
        <v>0</v>
      </c>
      <c r="G37" s="20" t="e">
        <f>(D37-F37)/D37</f>
        <v>#DIV/0!</v>
      </c>
      <c r="H37"/>
      <c r="I37"/>
      <c r="J37" s="348"/>
      <c r="K37" s="59"/>
      <c r="L37" t="s">
        <v>356</v>
      </c>
      <c r="M37" t="s">
        <v>554</v>
      </c>
      <c r="N37">
        <v>0.3</v>
      </c>
      <c r="O37">
        <v>-0.1</v>
      </c>
      <c r="P37" s="242">
        <v>2770583</v>
      </c>
    </row>
    <row r="38" spans="1:16" s="1" customFormat="1" ht="14.5" x14ac:dyDescent="0.7">
      <c r="A38" s="350" t="s">
        <v>99</v>
      </c>
      <c r="B38" s="12">
        <v>0.8</v>
      </c>
      <c r="C38" s="8">
        <f>VLOOKUP($B$1,'Tool Reference'!$A$11:$S$11,17,FALSE)</f>
        <v>0</v>
      </c>
      <c r="D38" s="8">
        <f>C38*Factors!N57</f>
        <v>0</v>
      </c>
      <c r="E38" s="8">
        <f>(C38*B38)/$B$40</f>
        <v>0</v>
      </c>
      <c r="F38" s="8">
        <f>E38*Factors!$N$58</f>
        <v>0</v>
      </c>
      <c r="G38" s="20" t="e">
        <f>(D38-F38)/D38</f>
        <v>#DIV/0!</v>
      </c>
      <c r="H38"/>
      <c r="I38"/>
      <c r="J38" s="348"/>
      <c r="K38" s="59"/>
      <c r="L38" t="s">
        <v>924</v>
      </c>
      <c r="M38" t="s">
        <v>554</v>
      </c>
      <c r="N38">
        <v>0.4</v>
      </c>
      <c r="O38">
        <v>-0.2</v>
      </c>
      <c r="P38" s="242">
        <v>4611660</v>
      </c>
    </row>
    <row r="39" spans="1:16" s="1" customFormat="1" ht="14.5" x14ac:dyDescent="0.7">
      <c r="A39" s="350" t="s">
        <v>100</v>
      </c>
      <c r="B39" s="12">
        <v>0.7</v>
      </c>
      <c r="C39" s="8">
        <f>VLOOKUP($B$1,'Tool Reference'!$A$11:$S$11,18,FALSE)</f>
        <v>0</v>
      </c>
      <c r="D39" s="8">
        <f>C39*Factors!N59</f>
        <v>0</v>
      </c>
      <c r="E39" s="8">
        <f>(C39*B39)/$B$40</f>
        <v>0</v>
      </c>
      <c r="F39" s="8">
        <f>E39*Factors!$N$58</f>
        <v>0</v>
      </c>
      <c r="G39" s="20" t="e">
        <f>(D39-F39)/D39</f>
        <v>#DIV/0!</v>
      </c>
      <c r="H39"/>
      <c r="I39"/>
      <c r="J39" s="348"/>
      <c r="K39" s="59"/>
      <c r="L39" t="s">
        <v>347</v>
      </c>
      <c r="M39" t="s">
        <v>553</v>
      </c>
      <c r="N39">
        <v>-0.2</v>
      </c>
      <c r="O39">
        <v>20.2</v>
      </c>
      <c r="P39" s="242">
        <v>2547955</v>
      </c>
    </row>
    <row r="40" spans="1:16" ht="14.5" x14ac:dyDescent="0.7">
      <c r="A40" s="349" t="s">
        <v>96</v>
      </c>
      <c r="B40" s="167">
        <v>3.97</v>
      </c>
      <c r="D40" s="1"/>
      <c r="F40" s="1" t="s">
        <v>587</v>
      </c>
      <c r="G40" s="20" t="e">
        <f>(IFERROR($G$36,0)+IFERROR($G$37,0)+IFERROR($G$38,0)+IFERROR($G$39,0))/COUNTIF($G$36:$G$39,"&gt;0")</f>
        <v>#DIV/0!</v>
      </c>
      <c r="H40" s="1">
        <v>0.87</v>
      </c>
      <c r="K40" s="59"/>
      <c r="L40" t="s">
        <v>356</v>
      </c>
      <c r="M40" t="s">
        <v>553</v>
      </c>
      <c r="N40">
        <v>-0.1</v>
      </c>
      <c r="O40">
        <v>17.5</v>
      </c>
      <c r="P40" s="242">
        <v>2770583</v>
      </c>
    </row>
    <row r="41" spans="1:16" s="1" customFormat="1" ht="14.5" x14ac:dyDescent="0.7">
      <c r="A41" s="352"/>
      <c r="B41" s="352"/>
      <c r="C41" s="2"/>
      <c r="D41" s="2"/>
      <c r="E41" s="2"/>
      <c r="F41" s="2"/>
      <c r="G41" s="2"/>
      <c r="H41" s="2"/>
      <c r="I41" s="2"/>
      <c r="J41" s="348"/>
      <c r="K41" s="59"/>
      <c r="L41" t="s">
        <v>924</v>
      </c>
      <c r="M41" t="s">
        <v>553</v>
      </c>
      <c r="N41">
        <v>-0.1</v>
      </c>
      <c r="O41">
        <v>18.899999999999999</v>
      </c>
      <c r="P41" s="242">
        <v>4611660</v>
      </c>
    </row>
    <row r="42" spans="1:16" s="1" customFormat="1" ht="43.5" x14ac:dyDescent="0.7">
      <c r="A42" s="16" t="s">
        <v>1196</v>
      </c>
      <c r="B42" s="16" t="s">
        <v>1304</v>
      </c>
      <c r="C42" s="16" t="s">
        <v>844</v>
      </c>
      <c r="D42" s="1252" t="s">
        <v>845</v>
      </c>
      <c r="E42" s="16" t="s">
        <v>846</v>
      </c>
      <c r="F42" s="16" t="s">
        <v>1197</v>
      </c>
      <c r="G42" s="16" t="s">
        <v>1198</v>
      </c>
      <c r="H42" s="16" t="s">
        <v>1000</v>
      </c>
      <c r="I42" s="16" t="s">
        <v>1200</v>
      </c>
      <c r="J42" s="348"/>
      <c r="K42" s="59"/>
      <c r="L42" t="s">
        <v>347</v>
      </c>
      <c r="M42" t="s">
        <v>552</v>
      </c>
      <c r="N42">
        <v>1.7</v>
      </c>
      <c r="O42">
        <v>-2.5</v>
      </c>
      <c r="P42" s="242">
        <v>2547955</v>
      </c>
    </row>
    <row r="43" spans="1:16" s="1" customFormat="1" ht="14.5" x14ac:dyDescent="0.7">
      <c r="A43" s="323">
        <f>'Tribal Measure Tool'!H20</f>
        <v>0</v>
      </c>
      <c r="B43" s="323">
        <f>'Tribal Measure Tool'!J20</f>
        <v>0</v>
      </c>
      <c r="C43" s="323">
        <f>'Tribal Measure Tool'!H25</f>
        <v>0</v>
      </c>
      <c r="D43" s="315">
        <f>VLOOKUP($B$1,'Tool Reference'!$A$11:$N$11,12,FALSE)</f>
        <v>0</v>
      </c>
      <c r="E43" s="315">
        <f>VLOOKUP($B$1,'Tool Reference'!$A$11:$N$11,9,FALSE)</f>
        <v>0</v>
      </c>
      <c r="F43" s="8">
        <f>(A43+B43)*D43</f>
        <v>0</v>
      </c>
      <c r="G43" s="8">
        <f>C43*E43</f>
        <v>0</v>
      </c>
      <c r="H43" s="20" t="e">
        <f>G40</f>
        <v>#DIV/0!</v>
      </c>
      <c r="I43" s="8" t="e">
        <f>F43*H43</f>
        <v>#DIV/0!</v>
      </c>
      <c r="J43" s="348"/>
      <c r="K43" s="59"/>
      <c r="L43" t="s">
        <v>356</v>
      </c>
      <c r="M43" t="s">
        <v>552</v>
      </c>
      <c r="N43">
        <v>1.8</v>
      </c>
      <c r="O43">
        <v>-2.4</v>
      </c>
      <c r="P43" s="242">
        <v>2770583</v>
      </c>
    </row>
    <row r="44" spans="1:16" s="1" customFormat="1" ht="14.5" x14ac:dyDescent="0.7">
      <c r="A44" s="489" t="s">
        <v>847</v>
      </c>
      <c r="F44" s="1" t="s">
        <v>1279</v>
      </c>
      <c r="G44" s="1577" t="s">
        <v>1199</v>
      </c>
      <c r="H44" s="1577"/>
      <c r="I44" s="8" t="e">
        <f>G43*H43</f>
        <v>#DIV/0!</v>
      </c>
      <c r="J44" s="348"/>
      <c r="K44" s="59"/>
      <c r="L44" t="s">
        <v>924</v>
      </c>
      <c r="M44" t="s">
        <v>552</v>
      </c>
      <c r="N44">
        <v>1.9</v>
      </c>
      <c r="O44">
        <v>-2.4</v>
      </c>
      <c r="P44" s="242">
        <v>4611660</v>
      </c>
    </row>
    <row r="45" spans="1:16" s="348" customFormat="1" ht="14.5" x14ac:dyDescent="0.7">
      <c r="A45" s="493" t="e">
        <f>'Summary PCAP Table'!N20</f>
        <v>#REF!</v>
      </c>
      <c r="B45" s="493" t="e">
        <f>'Summary PCAP Table'!O20</f>
        <v>#REF!</v>
      </c>
      <c r="C45" s="493" t="e">
        <f>'Summary PCAP Table'!Q20</f>
        <v>#REF!</v>
      </c>
      <c r="D45" s="492">
        <f>'Tool Reference'!L15</f>
        <v>4.6166187009196564</v>
      </c>
      <c r="E45" s="493">
        <f>'Tool Reference'!I15</f>
        <v>57.664367816091954</v>
      </c>
      <c r="F45" s="490" t="e">
        <f>(A45+B45)*D45 + (C45*E45)</f>
        <v>#REF!</v>
      </c>
      <c r="G45" s="491">
        <f>H40</f>
        <v>0.87</v>
      </c>
      <c r="H45" s="489" t="s">
        <v>847</v>
      </c>
      <c r="I45" s="490" t="e">
        <f>F45*G45</f>
        <v>#REF!</v>
      </c>
      <c r="K45" s="59"/>
      <c r="L45" t="s">
        <v>347</v>
      </c>
      <c r="M45" t="s">
        <v>551</v>
      </c>
      <c r="N45">
        <v>0</v>
      </c>
      <c r="O45">
        <v>2.8</v>
      </c>
      <c r="P45" s="242">
        <v>2547955</v>
      </c>
    </row>
    <row r="46" spans="1:16" s="1" customFormat="1" ht="21" x14ac:dyDescent="0.7">
      <c r="A46" s="1243" t="s">
        <v>1308</v>
      </c>
      <c r="B46" s="59"/>
      <c r="C46" s="59"/>
      <c r="D46" s="59"/>
      <c r="E46" s="59"/>
      <c r="F46" s="59"/>
      <c r="G46" s="59"/>
      <c r="H46" s="59"/>
      <c r="I46" s="59"/>
      <c r="J46" s="348"/>
      <c r="K46" s="59"/>
      <c r="L46" t="s">
        <v>356</v>
      </c>
      <c r="M46" t="s">
        <v>551</v>
      </c>
      <c r="N46">
        <v>0</v>
      </c>
      <c r="O46">
        <v>2.9</v>
      </c>
      <c r="P46" s="242">
        <v>2770583</v>
      </c>
    </row>
    <row r="47" spans="1:16" ht="58" x14ac:dyDescent="0.7">
      <c r="A47" s="16" t="s">
        <v>1233</v>
      </c>
      <c r="B47" s="1252" t="s">
        <v>566</v>
      </c>
      <c r="C47" s="16" t="s">
        <v>564</v>
      </c>
      <c r="D47" s="16" t="s">
        <v>589</v>
      </c>
      <c r="E47" s="16" t="s">
        <v>1319</v>
      </c>
      <c r="F47" s="1"/>
      <c r="G47" s="1"/>
      <c r="H47" s="1"/>
      <c r="I47" s="16" t="s">
        <v>502</v>
      </c>
      <c r="K47" s="59"/>
      <c r="L47" t="s">
        <v>924</v>
      </c>
      <c r="M47" t="s">
        <v>551</v>
      </c>
      <c r="N47">
        <v>0</v>
      </c>
      <c r="O47">
        <v>3.3</v>
      </c>
      <c r="P47" s="242">
        <v>4611660</v>
      </c>
    </row>
    <row r="48" spans="1:16" s="1" customFormat="1" ht="14.5" x14ac:dyDescent="0.7">
      <c r="A48" s="323">
        <f>'Tribal Measure Tool'!H23+'Tribal Measure Tool'!J23</f>
        <v>0</v>
      </c>
      <c r="B48" s="315">
        <f>VLOOKUP($B$1,'Tool Reference'!A11:S11,14,FALSE)</f>
        <v>0</v>
      </c>
      <c r="C48" s="8">
        <f>A48*B48</f>
        <v>0</v>
      </c>
      <c r="D48" s="8">
        <f>C48*$M$66</f>
        <v>0</v>
      </c>
      <c r="E48" s="8">
        <f>D48*$M$67</f>
        <v>0</v>
      </c>
      <c r="I48" s="8">
        <f>E48</f>
        <v>0</v>
      </c>
      <c r="J48" s="348"/>
      <c r="K48" s="59"/>
      <c r="L48" t="s">
        <v>347</v>
      </c>
      <c r="M48" t="s">
        <v>550</v>
      </c>
      <c r="N48">
        <v>4.0999999999999996</v>
      </c>
      <c r="O48">
        <v>0</v>
      </c>
      <c r="P48" s="242">
        <v>2547955</v>
      </c>
    </row>
    <row r="49" spans="1:16" s="1" customFormat="1" ht="14.5" x14ac:dyDescent="0.7">
      <c r="A49" s="493" t="e">
        <f>'Summary PCAP Table'!P22</f>
        <v>#REF!</v>
      </c>
      <c r="B49" s="492" t="e">
        <f>SUM('Tool Reference'!#REF!)/SUM('Tool Reference'!#REF!)</f>
        <v>#REF!</v>
      </c>
      <c r="C49" s="490" t="e">
        <f>A49*B49</f>
        <v>#REF!</v>
      </c>
      <c r="D49" s="490" t="e">
        <f>C49*$M$66</f>
        <v>#REF!</v>
      </c>
      <c r="E49" s="490" t="e">
        <f>D49*$M$67</f>
        <v>#REF!</v>
      </c>
      <c r="F49" s="489"/>
      <c r="G49" s="489"/>
      <c r="H49" s="489"/>
      <c r="I49" s="490" t="e">
        <f>E49</f>
        <v>#REF!</v>
      </c>
      <c r="J49" s="348"/>
      <c r="K49" s="59"/>
      <c r="L49" t="s">
        <v>356</v>
      </c>
      <c r="M49" t="s">
        <v>550</v>
      </c>
      <c r="N49">
        <v>4</v>
      </c>
      <c r="O49">
        <v>0</v>
      </c>
      <c r="P49" s="242">
        <v>2770583</v>
      </c>
    </row>
    <row r="50" spans="1:16" s="1" customFormat="1" ht="21" x14ac:dyDescent="0.7">
      <c r="A50" s="333" t="s">
        <v>664</v>
      </c>
      <c r="B50" s="59"/>
      <c r="C50" s="59"/>
      <c r="D50" s="59"/>
      <c r="E50" s="59"/>
      <c r="F50" s="59"/>
      <c r="G50" s="59"/>
      <c r="H50" s="59"/>
      <c r="I50" s="59"/>
      <c r="J50" s="348"/>
      <c r="K50" s="59"/>
      <c r="L50" t="s">
        <v>924</v>
      </c>
      <c r="M50" t="s">
        <v>550</v>
      </c>
      <c r="N50">
        <v>4.3</v>
      </c>
      <c r="O50">
        <v>0</v>
      </c>
      <c r="P50" s="242">
        <v>4611660</v>
      </c>
    </row>
    <row r="51" spans="1:16" s="1" customFormat="1" ht="58" x14ac:dyDescent="0.7">
      <c r="A51" s="16" t="s">
        <v>1241</v>
      </c>
      <c r="B51" s="16" t="s">
        <v>595</v>
      </c>
      <c r="C51" s="16" t="s">
        <v>564</v>
      </c>
      <c r="D51" s="16"/>
      <c r="E51" s="16" t="s">
        <v>596</v>
      </c>
      <c r="I51" s="16" t="s">
        <v>502</v>
      </c>
      <c r="J51" s="348"/>
      <c r="K51" s="59"/>
      <c r="L51" t="s">
        <v>347</v>
      </c>
      <c r="M51" t="s">
        <v>548</v>
      </c>
      <c r="N51">
        <v>1</v>
      </c>
      <c r="O51">
        <v>4.0999999999999996</v>
      </c>
      <c r="P51" s="242">
        <v>2547955</v>
      </c>
    </row>
    <row r="52" spans="1:16" s="1" customFormat="1" ht="14.5" x14ac:dyDescent="0.7">
      <c r="A52" s="323">
        <f>'Tribal Measure Tool'!H41</f>
        <v>0</v>
      </c>
      <c r="B52" s="315">
        <f>VLOOKUP($B$1,'Tool Reference'!A11:S11,19,FALSE)</f>
        <v>0</v>
      </c>
      <c r="C52" s="8">
        <f>B52*A52</f>
        <v>0</v>
      </c>
      <c r="E52" s="8">
        <f>C52*M82</f>
        <v>0</v>
      </c>
      <c r="I52" s="8">
        <f>E52</f>
        <v>0</v>
      </c>
      <c r="J52" s="348"/>
      <c r="K52" s="59"/>
      <c r="L52" t="s">
        <v>356</v>
      </c>
      <c r="M52" t="s">
        <v>548</v>
      </c>
      <c r="N52">
        <v>0.9</v>
      </c>
      <c r="O52">
        <v>3.4</v>
      </c>
      <c r="P52" s="242">
        <v>2770583</v>
      </c>
    </row>
    <row r="53" spans="1:16" s="1" customFormat="1" ht="14.5" x14ac:dyDescent="0.7">
      <c r="J53" s="348"/>
      <c r="K53" s="59"/>
      <c r="L53" t="s">
        <v>924</v>
      </c>
      <c r="M53" t="s">
        <v>548</v>
      </c>
      <c r="N53">
        <v>1.4</v>
      </c>
      <c r="O53">
        <v>5.4</v>
      </c>
      <c r="P53" s="242">
        <v>4611660</v>
      </c>
    </row>
    <row r="54" spans="1:16" s="1" customFormat="1" ht="14.5" x14ac:dyDescent="0.7">
      <c r="J54" s="348"/>
      <c r="K54" s="59"/>
      <c r="L54" t="s">
        <v>347</v>
      </c>
      <c r="M54" t="s">
        <v>549</v>
      </c>
      <c r="N54">
        <v>1.6</v>
      </c>
      <c r="O54">
        <v>0</v>
      </c>
      <c r="P54" s="242">
        <v>2547955</v>
      </c>
    </row>
    <row r="55" spans="1:16" s="1" customFormat="1" ht="14.5" x14ac:dyDescent="0.7">
      <c r="J55" s="348"/>
      <c r="K55" s="59"/>
      <c r="L55" t="s">
        <v>356</v>
      </c>
      <c r="M55" t="s">
        <v>549</v>
      </c>
      <c r="N55">
        <v>1.7</v>
      </c>
      <c r="O55">
        <v>0</v>
      </c>
      <c r="P55" s="242">
        <v>2770583</v>
      </c>
    </row>
    <row r="56" spans="1:16" s="1" customFormat="1" ht="14.5" x14ac:dyDescent="0.7">
      <c r="A56" s="348" t="s">
        <v>942</v>
      </c>
      <c r="B56" s="348"/>
      <c r="C56" s="348"/>
      <c r="D56" s="348"/>
      <c r="E56" s="348"/>
      <c r="F56" s="348"/>
      <c r="G56" s="348"/>
      <c r="H56" s="348"/>
      <c r="I56" s="348"/>
      <c r="J56" s="348"/>
      <c r="K56" s="59"/>
      <c r="L56" t="s">
        <v>924</v>
      </c>
      <c r="M56" t="s">
        <v>549</v>
      </c>
      <c r="N56">
        <v>1.8</v>
      </c>
      <c r="O56">
        <v>0</v>
      </c>
      <c r="P56" s="242">
        <v>4611660</v>
      </c>
    </row>
    <row r="57" spans="1:16" ht="14.5" x14ac:dyDescent="0.7">
      <c r="A57" s="1" t="s">
        <v>936</v>
      </c>
      <c r="B57" s="1" t="s">
        <v>937</v>
      </c>
      <c r="C57" s="1" t="s">
        <v>940</v>
      </c>
      <c r="D57" s="1"/>
      <c r="E57" s="1"/>
      <c r="F57" s="563" t="s">
        <v>958</v>
      </c>
      <c r="G57" s="244"/>
      <c r="H57" s="563"/>
      <c r="I57" s="1"/>
      <c r="K57" s="59"/>
      <c r="L57" t="s">
        <v>347</v>
      </c>
      <c r="M57" t="s">
        <v>546</v>
      </c>
      <c r="N57">
        <v>12.8</v>
      </c>
      <c r="O57">
        <v>-5.9</v>
      </c>
      <c r="P57" s="242">
        <v>2547955</v>
      </c>
    </row>
    <row r="58" spans="1:16" s="1" customFormat="1" ht="43.5" x14ac:dyDescent="0.7">
      <c r="A58" t="s">
        <v>941</v>
      </c>
      <c r="B58" s="1230">
        <v>0.12</v>
      </c>
      <c r="C58" s="1230">
        <v>7.0000000000000001E-3</v>
      </c>
      <c r="D58" s="1230">
        <f>B58*C58</f>
        <v>8.4000000000000003E-4</v>
      </c>
      <c r="F58" s="564" t="s">
        <v>952</v>
      </c>
      <c r="G58" s="564" t="s">
        <v>953</v>
      </c>
      <c r="H58" s="564" t="s">
        <v>949</v>
      </c>
      <c r="J58" s="348"/>
      <c r="K58" s="59"/>
      <c r="L58" t="s">
        <v>356</v>
      </c>
      <c r="M58" t="s">
        <v>546</v>
      </c>
      <c r="N58">
        <v>12</v>
      </c>
      <c r="O58">
        <v>-5.2</v>
      </c>
      <c r="P58" s="242">
        <v>2770583</v>
      </c>
    </row>
    <row r="59" spans="1:16" x14ac:dyDescent="0.65">
      <c r="A59" t="s">
        <v>943</v>
      </c>
      <c r="B59" s="1230">
        <v>0.09</v>
      </c>
      <c r="C59" s="1230">
        <v>7.9000000000000001E-2</v>
      </c>
      <c r="D59" s="1230">
        <f>B59*C59</f>
        <v>7.11E-3</v>
      </c>
      <c r="F59" s="565">
        <v>0.1</v>
      </c>
      <c r="G59" s="566">
        <f>SUM($C$58:$C$62)</f>
        <v>0.32800000000000001</v>
      </c>
      <c r="H59" s="566">
        <f>F59*G59</f>
        <v>3.2800000000000003E-2</v>
      </c>
      <c r="K59" s="59"/>
      <c r="L59" t="s">
        <v>924</v>
      </c>
      <c r="M59" t="s">
        <v>546</v>
      </c>
      <c r="N59">
        <v>12.8</v>
      </c>
      <c r="O59">
        <v>-5.9</v>
      </c>
      <c r="P59" s="242">
        <v>4611660</v>
      </c>
    </row>
    <row r="60" spans="1:16" s="1" customFormat="1" ht="14.5" x14ac:dyDescent="0.7">
      <c r="A60" t="s">
        <v>944</v>
      </c>
      <c r="B60" s="1230">
        <v>0.25</v>
      </c>
      <c r="C60" s="1230">
        <v>5.0000000000000001E-3</v>
      </c>
      <c r="D60" s="1230">
        <f>B60*C60</f>
        <v>1.25E-3</v>
      </c>
      <c r="F60" s="565">
        <v>0.25</v>
      </c>
      <c r="G60" s="566">
        <f>SUM($C$58:$C$62)</f>
        <v>0.32800000000000001</v>
      </c>
      <c r="H60" s="567">
        <f>F60*G60</f>
        <v>8.2000000000000003E-2</v>
      </c>
      <c r="J60" s="348"/>
      <c r="K60" s="59"/>
      <c r="L60" t="s">
        <v>347</v>
      </c>
      <c r="M60" t="s">
        <v>547</v>
      </c>
      <c r="N60">
        <v>1.3</v>
      </c>
      <c r="O60">
        <v>5.5</v>
      </c>
      <c r="P60" s="242">
        <v>2547955</v>
      </c>
    </row>
    <row r="61" spans="1:16" x14ac:dyDescent="0.65">
      <c r="A61" s="12" t="s">
        <v>945</v>
      </c>
      <c r="B61" s="1231">
        <v>0.2</v>
      </c>
      <c r="C61" s="1231">
        <v>4.2999999999999997E-2</v>
      </c>
      <c r="D61" s="1230">
        <f>B61*C61</f>
        <v>8.6E-3</v>
      </c>
      <c r="E61" s="12"/>
      <c r="F61" s="565">
        <v>0.35</v>
      </c>
      <c r="G61" s="566">
        <f>SUM($C$58:$C$62)</f>
        <v>0.32800000000000001</v>
      </c>
      <c r="H61" s="567">
        <f>F61*G61</f>
        <v>0.1148</v>
      </c>
      <c r="I61" s="12"/>
      <c r="K61" s="59"/>
      <c r="L61" t="s">
        <v>356</v>
      </c>
      <c r="M61" t="s">
        <v>547</v>
      </c>
      <c r="N61">
        <v>1.4</v>
      </c>
      <c r="O61">
        <v>4.9000000000000004</v>
      </c>
      <c r="P61" s="242">
        <v>2770583</v>
      </c>
    </row>
    <row r="62" spans="1:16" x14ac:dyDescent="0.65">
      <c r="A62" t="s">
        <v>946</v>
      </c>
      <c r="B62" s="1231">
        <v>0.2</v>
      </c>
      <c r="C62" s="1231">
        <v>0.19400000000000001</v>
      </c>
      <c r="D62" s="1230">
        <f>B62*C62</f>
        <v>3.8800000000000001E-2</v>
      </c>
      <c r="E62" s="12"/>
      <c r="F62" s="568">
        <v>0.75</v>
      </c>
      <c r="G62" s="566">
        <f>SUM($C$58:$C$62)</f>
        <v>0.32800000000000001</v>
      </c>
      <c r="H62" s="567">
        <f>F62*G62</f>
        <v>0.246</v>
      </c>
      <c r="I62" s="12"/>
      <c r="K62" s="59"/>
      <c r="L62" t="s">
        <v>924</v>
      </c>
      <c r="M62" t="s">
        <v>547</v>
      </c>
      <c r="N62">
        <v>1.7</v>
      </c>
      <c r="O62">
        <v>6.2</v>
      </c>
      <c r="P62" s="242">
        <v>4611660</v>
      </c>
    </row>
    <row r="63" spans="1:16" ht="29" x14ac:dyDescent="0.7">
      <c r="C63" s="16" t="s">
        <v>949</v>
      </c>
      <c r="D63" s="25">
        <f>SUM(D58:D62)</f>
        <v>5.6599999999999998E-2</v>
      </c>
      <c r="K63" s="59"/>
    </row>
    <row r="64" spans="1:16" s="357" customFormat="1" x14ac:dyDescent="0.65"/>
    <row r="65" spans="1:20" ht="20.5" x14ac:dyDescent="0.9">
      <c r="A65" s="326" t="s">
        <v>636</v>
      </c>
      <c r="K65" s="59"/>
      <c r="L65" s="1248" t="s">
        <v>400</v>
      </c>
      <c r="M65" s="16"/>
      <c r="N65" s="12"/>
      <c r="O65" s="12"/>
      <c r="P65" s="12"/>
      <c r="Q65" s="12"/>
      <c r="R65" s="12"/>
      <c r="S65" s="12"/>
      <c r="T65" s="12"/>
    </row>
    <row r="66" spans="1:20" ht="71.25" x14ac:dyDescent="0.65">
      <c r="K66" s="59"/>
      <c r="L66" s="12" t="s">
        <v>392</v>
      </c>
      <c r="M66" s="243">
        <v>0.15</v>
      </c>
      <c r="N66" s="167" t="s">
        <v>377</v>
      </c>
      <c r="O66" s="12" t="s">
        <v>380</v>
      </c>
      <c r="P66" s="12"/>
      <c r="Q66" s="12"/>
      <c r="R66" s="12"/>
      <c r="S66" s="12"/>
      <c r="T66" s="12"/>
    </row>
    <row r="67" spans="1:20" ht="28.5" x14ac:dyDescent="0.65">
      <c r="A67" s="12" t="s">
        <v>407</v>
      </c>
      <c r="B67" s="12"/>
      <c r="C67" s="12"/>
      <c r="K67" s="59"/>
      <c r="L67" s="12" t="s">
        <v>391</v>
      </c>
      <c r="M67" s="243">
        <f>SUMPRODUCT(P70:P71,T70:T71)/SUM(T70:T71)</f>
        <v>0.21656050955414013</v>
      </c>
      <c r="N67" s="12" t="s">
        <v>390</v>
      </c>
      <c r="O67" s="12"/>
      <c r="P67" s="12"/>
      <c r="Q67" s="12"/>
      <c r="R67" s="12"/>
      <c r="S67" s="12"/>
      <c r="T67" s="12"/>
    </row>
    <row r="68" spans="1:20" ht="28.5" x14ac:dyDescent="0.65">
      <c r="A68" s="12" t="s">
        <v>413</v>
      </c>
      <c r="B68" s="12"/>
      <c r="C68" s="12"/>
      <c r="K68" s="59"/>
      <c r="L68" s="12"/>
      <c r="M68" s="243"/>
      <c r="N68" s="12"/>
      <c r="O68" s="12"/>
      <c r="P68" s="12"/>
      <c r="Q68" s="12"/>
      <c r="R68" s="12"/>
      <c r="S68" s="12"/>
      <c r="T68" s="12"/>
    </row>
    <row r="69" spans="1:20" ht="42.75" x14ac:dyDescent="0.65">
      <c r="A69" s="12" t="s">
        <v>93</v>
      </c>
      <c r="B69" s="287">
        <v>9.0999999999999998E-2</v>
      </c>
      <c r="C69" s="12"/>
      <c r="K69" s="59"/>
      <c r="L69" s="12"/>
      <c r="M69" s="243" t="s">
        <v>381</v>
      </c>
      <c r="N69" s="12" t="s">
        <v>382</v>
      </c>
      <c r="O69" s="12" t="s">
        <v>386</v>
      </c>
      <c r="P69" s="12" t="s">
        <v>389</v>
      </c>
      <c r="Q69" s="12" t="s">
        <v>384</v>
      </c>
      <c r="R69" s="12" t="s">
        <v>385</v>
      </c>
      <c r="S69" s="12" t="s">
        <v>387</v>
      </c>
      <c r="T69" s="12" t="s">
        <v>388</v>
      </c>
    </row>
    <row r="70" spans="1:20" x14ac:dyDescent="0.65">
      <c r="A70" s="12" t="s">
        <v>92</v>
      </c>
      <c r="B70" s="287">
        <v>0.216</v>
      </c>
      <c r="C70" s="12"/>
      <c r="K70" s="59"/>
      <c r="L70" s="18" t="s">
        <v>373</v>
      </c>
      <c r="M70" s="281">
        <v>2</v>
      </c>
      <c r="N70" s="281">
        <v>2.5</v>
      </c>
      <c r="O70" s="282">
        <f>N70-M70</f>
        <v>0.5</v>
      </c>
      <c r="P70" s="282">
        <f>O70/N70</f>
        <v>0.2</v>
      </c>
      <c r="Q70" s="12">
        <v>2700</v>
      </c>
      <c r="R70" s="241">
        <f>Q70/O70</f>
        <v>5400</v>
      </c>
      <c r="S70" s="241">
        <f>R70*N70</f>
        <v>13500</v>
      </c>
      <c r="T70" s="168">
        <f>S70/S72</f>
        <v>0.85987261146496818</v>
      </c>
    </row>
    <row r="71" spans="1:20" x14ac:dyDescent="0.65">
      <c r="A71" s="12" t="s">
        <v>412</v>
      </c>
      <c r="B71" s="279">
        <f>AVERAGE(B69:B70)</f>
        <v>0.1535</v>
      </c>
      <c r="C71" s="12"/>
      <c r="K71" s="59"/>
      <c r="L71" s="18" t="s">
        <v>374</v>
      </c>
      <c r="M71" s="281">
        <v>1.5</v>
      </c>
      <c r="N71" s="281">
        <v>2.2000000000000002</v>
      </c>
      <c r="O71" s="283">
        <f>N71-M71</f>
        <v>0.70000000000000018</v>
      </c>
      <c r="P71" s="283">
        <f>O71/N71</f>
        <v>0.31818181818181823</v>
      </c>
      <c r="Q71" s="12">
        <v>700</v>
      </c>
      <c r="R71" s="241">
        <f>Q71/O71</f>
        <v>999.99999999999977</v>
      </c>
      <c r="S71" s="241">
        <f>R71*N71</f>
        <v>2199.9999999999995</v>
      </c>
      <c r="T71" s="168">
        <f>S71/S72</f>
        <v>0.14012738853503182</v>
      </c>
    </row>
    <row r="72" spans="1:20" ht="28.5" x14ac:dyDescent="0.65">
      <c r="A72" s="12" t="s">
        <v>414</v>
      </c>
      <c r="B72" s="12"/>
      <c r="C72" s="12"/>
      <c r="K72" s="59"/>
      <c r="L72" s="12" t="s">
        <v>383</v>
      </c>
      <c r="M72" s="243"/>
      <c r="N72" s="18"/>
      <c r="O72" s="18"/>
      <c r="P72" s="18"/>
      <c r="Q72" s="12"/>
      <c r="R72" s="241">
        <f>SUM(R70:R71)</f>
        <v>6400</v>
      </c>
      <c r="S72" s="241">
        <f>SUM(S70:S71)</f>
        <v>15700</v>
      </c>
      <c r="T72" s="12"/>
    </row>
    <row r="73" spans="1:20" x14ac:dyDescent="0.65">
      <c r="A73" s="12"/>
      <c r="B73" s="12"/>
      <c r="C73" s="12"/>
      <c r="K73" s="59"/>
      <c r="L73" s="12"/>
      <c r="M73" s="243"/>
      <c r="R73" s="12"/>
      <c r="S73" s="12"/>
      <c r="T73" s="12"/>
    </row>
    <row r="74" spans="1:20" x14ac:dyDescent="0.65">
      <c r="A74" s="12" t="s">
        <v>408</v>
      </c>
      <c r="B74" s="12"/>
      <c r="C74" s="12"/>
      <c r="K74" s="59"/>
      <c r="L74" s="12" t="s">
        <v>372</v>
      </c>
      <c r="M74" s="279">
        <f>M66*M67</f>
        <v>3.2484076433121019E-2</v>
      </c>
      <c r="N74" s="18"/>
      <c r="O74" s="18"/>
      <c r="P74" s="12"/>
      <c r="Q74" s="12"/>
      <c r="R74" s="12"/>
      <c r="S74" s="12"/>
      <c r="T74" s="12"/>
    </row>
    <row r="75" spans="1:20" ht="28.75" x14ac:dyDescent="0.7">
      <c r="A75" s="167" t="s">
        <v>409</v>
      </c>
      <c r="B75" s="12"/>
      <c r="C75" s="12"/>
      <c r="K75" s="59"/>
      <c r="L75" s="1"/>
      <c r="M75" s="1"/>
      <c r="N75" s="1"/>
      <c r="O75" s="1"/>
      <c r="P75" s="1"/>
      <c r="Q75" s="1"/>
      <c r="R75" s="1"/>
      <c r="S75" s="1"/>
      <c r="T75" s="1"/>
    </row>
    <row r="76" spans="1:20" x14ac:dyDescent="0.65">
      <c r="A76" s="12"/>
      <c r="B76" s="12"/>
      <c r="C76" s="12"/>
      <c r="K76" s="59"/>
    </row>
    <row r="77" spans="1:20" ht="14.5" x14ac:dyDescent="0.7">
      <c r="A77" s="12"/>
      <c r="B77" s="12"/>
      <c r="C77" s="12"/>
      <c r="D77" s="12"/>
      <c r="K77" s="59"/>
      <c r="L77" s="16" t="s">
        <v>401</v>
      </c>
      <c r="M77" s="279"/>
      <c r="N77" s="12"/>
      <c r="O77" s="12"/>
      <c r="P77" s="12"/>
      <c r="Q77" t="s">
        <v>1322</v>
      </c>
      <c r="R77" s="12"/>
      <c r="S77" s="12"/>
      <c r="T77" s="12"/>
    </row>
    <row r="78" spans="1:20" ht="42.75" x14ac:dyDescent="0.65">
      <c r="A78" s="167" t="s">
        <v>447</v>
      </c>
      <c r="B78" s="12"/>
      <c r="C78" s="12" t="s">
        <v>93</v>
      </c>
      <c r="D78" s="12" t="s">
        <v>92</v>
      </c>
      <c r="K78" s="59"/>
      <c r="L78" s="12"/>
      <c r="M78" s="12" t="s">
        <v>397</v>
      </c>
      <c r="N78" s="12" t="s">
        <v>398</v>
      </c>
      <c r="O78" s="12" t="s">
        <v>399</v>
      </c>
      <c r="P78" s="12" t="s">
        <v>389</v>
      </c>
      <c r="Q78" s="1257" t="s">
        <v>384</v>
      </c>
      <c r="R78" s="1257" t="s">
        <v>385</v>
      </c>
      <c r="S78" s="1257" t="s">
        <v>387</v>
      </c>
      <c r="T78" s="1257" t="s">
        <v>388</v>
      </c>
    </row>
    <row r="79" spans="1:20" x14ac:dyDescent="0.65">
      <c r="A79" s="12" t="s">
        <v>444</v>
      </c>
      <c r="B79" s="12" t="s">
        <v>445</v>
      </c>
      <c r="C79" s="243">
        <v>0.04</v>
      </c>
      <c r="D79" s="243">
        <v>0.04</v>
      </c>
      <c r="K79" s="59"/>
      <c r="L79" s="167" t="s">
        <v>106</v>
      </c>
      <c r="M79" s="12">
        <v>1.28</v>
      </c>
      <c r="N79" s="12">
        <v>1.6</v>
      </c>
      <c r="O79" s="12">
        <f>N79-M79</f>
        <v>0.32000000000000006</v>
      </c>
      <c r="P79" s="12">
        <f>O79/N79</f>
        <v>0.20000000000000004</v>
      </c>
      <c r="Q79" s="1258">
        <v>10000000</v>
      </c>
      <c r="R79" s="1257">
        <f>Q79/O79</f>
        <v>31249999.999999993</v>
      </c>
      <c r="S79" s="1257">
        <f>R79*M79</f>
        <v>39999999.999999993</v>
      </c>
      <c r="T79" s="1257">
        <f>S79/S81</f>
        <v>0.99870168780585244</v>
      </c>
    </row>
    <row r="80" spans="1:20" x14ac:dyDescent="0.65">
      <c r="A80" s="12"/>
      <c r="B80" s="12" t="s">
        <v>446</v>
      </c>
      <c r="C80" s="243">
        <v>0.08</v>
      </c>
      <c r="D80" s="243">
        <v>0.08</v>
      </c>
      <c r="K80" s="59"/>
      <c r="L80" s="167" t="s">
        <v>402</v>
      </c>
      <c r="M80" s="12">
        <v>1.28</v>
      </c>
      <c r="N80" s="12">
        <v>1.6</v>
      </c>
      <c r="O80" s="12">
        <f>N80-M80</f>
        <v>0.32000000000000006</v>
      </c>
      <c r="P80" s="12">
        <f>O80/N80</f>
        <v>0.20000000000000004</v>
      </c>
      <c r="Q80" s="1257">
        <v>13000</v>
      </c>
      <c r="R80" s="1257">
        <f>Q80/O80</f>
        <v>40624.999999999993</v>
      </c>
      <c r="S80" s="1257">
        <f>R80*M80</f>
        <v>51999.999999999993</v>
      </c>
      <c r="T80" s="1257">
        <f>S80/S81</f>
        <v>1.2983121941476082E-3</v>
      </c>
    </row>
    <row r="81" spans="1:20" ht="28.5" x14ac:dyDescent="0.65">
      <c r="A81" s="12" t="s">
        <v>448</v>
      </c>
      <c r="B81" s="12" t="s">
        <v>445</v>
      </c>
      <c r="C81" s="243">
        <v>0.46</v>
      </c>
      <c r="D81" s="243">
        <v>0.48</v>
      </c>
      <c r="K81" s="59"/>
      <c r="L81" s="12"/>
      <c r="M81" s="12"/>
      <c r="N81" s="12"/>
      <c r="O81" s="12"/>
      <c r="P81" s="12"/>
      <c r="Q81" s="1257"/>
      <c r="R81" s="1257">
        <f>SUM(R79:R80)</f>
        <v>31290624.999999993</v>
      </c>
      <c r="S81" s="1257">
        <f>SUM(S79:S80)</f>
        <v>40051999.999999993</v>
      </c>
      <c r="T81" s="1257"/>
    </row>
    <row r="82" spans="1:20" ht="57" x14ac:dyDescent="0.65">
      <c r="A82" s="12"/>
      <c r="B82" s="12" t="s">
        <v>446</v>
      </c>
      <c r="C82" s="243">
        <v>0.36</v>
      </c>
      <c r="D82" s="243">
        <v>0.4</v>
      </c>
      <c r="K82" s="59"/>
      <c r="L82" s="12" t="s">
        <v>372</v>
      </c>
      <c r="M82" s="168">
        <f>T79*P79+T80*P80</f>
        <v>0.20000000000000004</v>
      </c>
      <c r="N82" s="286" t="s">
        <v>406</v>
      </c>
      <c r="O82" s="12"/>
      <c r="P82" s="12"/>
      <c r="Q82" s="12"/>
      <c r="R82" s="12"/>
      <c r="S82" s="12"/>
      <c r="T82" s="12"/>
    </row>
    <row r="83" spans="1:20" x14ac:dyDescent="0.65">
      <c r="A83" s="12" t="s">
        <v>449</v>
      </c>
      <c r="B83" s="12" t="s">
        <v>445</v>
      </c>
      <c r="C83" s="243">
        <v>0.13</v>
      </c>
      <c r="D83" s="243">
        <v>0.13</v>
      </c>
      <c r="K83" s="59"/>
    </row>
    <row r="84" spans="1:20" x14ac:dyDescent="0.65">
      <c r="A84" s="12"/>
      <c r="B84" s="12" t="s">
        <v>446</v>
      </c>
      <c r="C84" s="243">
        <v>0.11</v>
      </c>
      <c r="D84" s="243">
        <v>0.12</v>
      </c>
      <c r="K84" s="59"/>
    </row>
    <row r="85" spans="1:20" x14ac:dyDescent="0.65">
      <c r="A85" s="12" t="s">
        <v>450</v>
      </c>
      <c r="B85" s="12" t="s">
        <v>445</v>
      </c>
      <c r="C85" s="243">
        <v>0.61</v>
      </c>
      <c r="D85" s="243">
        <v>0.63</v>
      </c>
      <c r="K85" s="59"/>
    </row>
    <row r="86" spans="1:20" x14ac:dyDescent="0.65">
      <c r="A86" s="12"/>
      <c r="B86" s="12" t="s">
        <v>446</v>
      </c>
      <c r="C86" s="243">
        <v>0.56000000000000005</v>
      </c>
      <c r="D86" s="243">
        <v>0.59</v>
      </c>
      <c r="K86" s="59"/>
    </row>
    <row r="87" spans="1:20" x14ac:dyDescent="0.65">
      <c r="A87" s="12"/>
      <c r="B87" s="12"/>
      <c r="C87" s="12"/>
      <c r="D87" s="12"/>
      <c r="K87" s="59"/>
    </row>
    <row r="88" spans="1:20" x14ac:dyDescent="0.65">
      <c r="K88" s="59"/>
    </row>
    <row r="89" spans="1:20" x14ac:dyDescent="0.65">
      <c r="K89" s="59"/>
    </row>
    <row r="90" spans="1:20" x14ac:dyDescent="0.65">
      <c r="K90" s="59"/>
    </row>
    <row r="91" spans="1:20" x14ac:dyDescent="0.65">
      <c r="K91" s="59"/>
    </row>
    <row r="92" spans="1:20" x14ac:dyDescent="0.65">
      <c r="K92" s="59"/>
    </row>
    <row r="93" spans="1:20" x14ac:dyDescent="0.65">
      <c r="K93" s="59"/>
    </row>
    <row r="94" spans="1:20" x14ac:dyDescent="0.65">
      <c r="K94" s="59"/>
    </row>
    <row r="95" spans="1:20" x14ac:dyDescent="0.65">
      <c r="K95" s="59"/>
    </row>
    <row r="96" spans="1:20" x14ac:dyDescent="0.65">
      <c r="K96" s="59"/>
    </row>
    <row r="97" spans="11:11" x14ac:dyDescent="0.65">
      <c r="K97" s="59"/>
    </row>
    <row r="98" spans="11:11" x14ac:dyDescent="0.65">
      <c r="K98" s="59"/>
    </row>
    <row r="99" spans="11:11" x14ac:dyDescent="0.65">
      <c r="K99" s="59"/>
    </row>
    <row r="100" spans="11:11" x14ac:dyDescent="0.65">
      <c r="K100" s="59"/>
    </row>
    <row r="101" spans="11:11" x14ac:dyDescent="0.65">
      <c r="K101" s="59"/>
    </row>
    <row r="102" spans="11:11" x14ac:dyDescent="0.65">
      <c r="K102" s="59"/>
    </row>
    <row r="103" spans="11:11" x14ac:dyDescent="0.65">
      <c r="K103" s="59"/>
    </row>
    <row r="104" spans="11:11" x14ac:dyDescent="0.65">
      <c r="K104" s="59"/>
    </row>
    <row r="105" spans="11:11" x14ac:dyDescent="0.65">
      <c r="K105" s="59"/>
    </row>
    <row r="106" spans="11:11" x14ac:dyDescent="0.65">
      <c r="K106" s="59"/>
    </row>
    <row r="107" spans="11:11" x14ac:dyDescent="0.65">
      <c r="K107" s="59"/>
    </row>
    <row r="108" spans="11:11" x14ac:dyDescent="0.65">
      <c r="K108" s="59"/>
    </row>
    <row r="109" spans="11:11" x14ac:dyDescent="0.65">
      <c r="K109" s="59"/>
    </row>
    <row r="110" spans="11:11" x14ac:dyDescent="0.65">
      <c r="K110" s="59"/>
    </row>
    <row r="111" spans="11:11" x14ac:dyDescent="0.65">
      <c r="K111" s="59"/>
    </row>
    <row r="112" spans="11:11" x14ac:dyDescent="0.65">
      <c r="K112" s="59"/>
    </row>
    <row r="113" spans="11:11" x14ac:dyDescent="0.65">
      <c r="K113" s="59"/>
    </row>
    <row r="114" spans="11:11" x14ac:dyDescent="0.65">
      <c r="K114" s="59"/>
    </row>
    <row r="115" spans="11:11" x14ac:dyDescent="0.65">
      <c r="K115" s="59"/>
    </row>
    <row r="116" spans="11:11" x14ac:dyDescent="0.65">
      <c r="K116" s="59"/>
    </row>
    <row r="117" spans="11:11" x14ac:dyDescent="0.65">
      <c r="K117" s="59"/>
    </row>
    <row r="118" spans="11:11" x14ac:dyDescent="0.65">
      <c r="K118" s="59"/>
    </row>
    <row r="119" spans="11:11" x14ac:dyDescent="0.65">
      <c r="K119" s="59"/>
    </row>
    <row r="120" spans="11:11" x14ac:dyDescent="0.65">
      <c r="K120" s="59"/>
    </row>
    <row r="121" spans="11:11" x14ac:dyDescent="0.65">
      <c r="K121" s="59"/>
    </row>
    <row r="122" spans="11:11" x14ac:dyDescent="0.65">
      <c r="K122" s="59"/>
    </row>
    <row r="123" spans="11:11" x14ac:dyDescent="0.65">
      <c r="K123" s="59"/>
    </row>
    <row r="124" spans="11:11" x14ac:dyDescent="0.65">
      <c r="K124" s="59"/>
    </row>
    <row r="125" spans="11:11" x14ac:dyDescent="0.65">
      <c r="K125" s="59"/>
    </row>
    <row r="126" spans="11:11" x14ac:dyDescent="0.65">
      <c r="K126" s="59"/>
    </row>
    <row r="127" spans="11:11" x14ac:dyDescent="0.65">
      <c r="K127" s="59"/>
    </row>
    <row r="128" spans="11:11" x14ac:dyDescent="0.65">
      <c r="K128" s="59"/>
    </row>
    <row r="129" spans="11:11" x14ac:dyDescent="0.65">
      <c r="K129" s="59"/>
    </row>
    <row r="130" spans="11:11" x14ac:dyDescent="0.65">
      <c r="K130" s="59"/>
    </row>
    <row r="131" spans="11:11" x14ac:dyDescent="0.65">
      <c r="K131" s="59"/>
    </row>
    <row r="132" spans="11:11" x14ac:dyDescent="0.65">
      <c r="K132" s="59"/>
    </row>
    <row r="133" spans="11:11" x14ac:dyDescent="0.65">
      <c r="K133" s="59"/>
    </row>
    <row r="134" spans="11:11" x14ac:dyDescent="0.65">
      <c r="K134" s="59"/>
    </row>
    <row r="135" spans="11:11" x14ac:dyDescent="0.65">
      <c r="K135" s="59"/>
    </row>
    <row r="136" spans="11:11" x14ac:dyDescent="0.65">
      <c r="K136" s="59"/>
    </row>
    <row r="137" spans="11:11" x14ac:dyDescent="0.65">
      <c r="K137" s="59"/>
    </row>
    <row r="138" spans="11:11" x14ac:dyDescent="0.65">
      <c r="K138" s="59"/>
    </row>
    <row r="139" spans="11:11" x14ac:dyDescent="0.65">
      <c r="K139" s="59"/>
    </row>
    <row r="140" spans="11:11" x14ac:dyDescent="0.65">
      <c r="K140" s="59"/>
    </row>
    <row r="141" spans="11:11" x14ac:dyDescent="0.65">
      <c r="K141" s="59"/>
    </row>
    <row r="142" spans="11:11" x14ac:dyDescent="0.65">
      <c r="K142" s="59"/>
    </row>
    <row r="143" spans="11:11" x14ac:dyDescent="0.65">
      <c r="K143" s="59"/>
    </row>
    <row r="144" spans="11:11" x14ac:dyDescent="0.65">
      <c r="K144" s="59"/>
    </row>
    <row r="145" spans="11:11" x14ac:dyDescent="0.65">
      <c r="K145" s="59"/>
    </row>
    <row r="146" spans="11:11" x14ac:dyDescent="0.65">
      <c r="K146" s="59"/>
    </row>
    <row r="147" spans="11:11" x14ac:dyDescent="0.65">
      <c r="K147" s="59"/>
    </row>
    <row r="148" spans="11:11" x14ac:dyDescent="0.65">
      <c r="K148" s="59"/>
    </row>
    <row r="149" spans="11:11" x14ac:dyDescent="0.65">
      <c r="K149" s="59"/>
    </row>
    <row r="150" spans="11:11" x14ac:dyDescent="0.65">
      <c r="K150" s="59"/>
    </row>
    <row r="151" spans="11:11" x14ac:dyDescent="0.65">
      <c r="K151" s="59"/>
    </row>
    <row r="152" spans="11:11" x14ac:dyDescent="0.65">
      <c r="K152" s="59"/>
    </row>
    <row r="153" spans="11:11" x14ac:dyDescent="0.65">
      <c r="K153" s="59"/>
    </row>
    <row r="154" spans="11:11" x14ac:dyDescent="0.65">
      <c r="K154" s="59"/>
    </row>
    <row r="155" spans="11:11" x14ac:dyDescent="0.65">
      <c r="K155" s="59"/>
    </row>
    <row r="156" spans="11:11" x14ac:dyDescent="0.65">
      <c r="K156" s="59"/>
    </row>
    <row r="157" spans="11:11" x14ac:dyDescent="0.65">
      <c r="K157" s="59"/>
    </row>
    <row r="158" spans="11:11" x14ac:dyDescent="0.65">
      <c r="K158" s="59"/>
    </row>
    <row r="159" spans="11:11" x14ac:dyDescent="0.65">
      <c r="K159" s="59"/>
    </row>
    <row r="160" spans="11:11" x14ac:dyDescent="0.65">
      <c r="K160" s="59"/>
    </row>
    <row r="161" spans="11:11" x14ac:dyDescent="0.65">
      <c r="K161" s="59"/>
    </row>
    <row r="162" spans="11:11" x14ac:dyDescent="0.65">
      <c r="K162" s="59"/>
    </row>
    <row r="163" spans="11:11" x14ac:dyDescent="0.65">
      <c r="K163" s="59"/>
    </row>
    <row r="164" spans="11:11" x14ac:dyDescent="0.65">
      <c r="K164" s="59"/>
    </row>
    <row r="165" spans="11:11" x14ac:dyDescent="0.65">
      <c r="K165" s="59"/>
    </row>
    <row r="166" spans="11:11" x14ac:dyDescent="0.65">
      <c r="K166" s="59"/>
    </row>
    <row r="167" spans="11:11" x14ac:dyDescent="0.65">
      <c r="K167" s="59"/>
    </row>
    <row r="168" spans="11:11" x14ac:dyDescent="0.65">
      <c r="K168" s="59"/>
    </row>
    <row r="169" spans="11:11" x14ac:dyDescent="0.65">
      <c r="K169" s="59"/>
    </row>
    <row r="170" spans="11:11" x14ac:dyDescent="0.65">
      <c r="K170" s="59"/>
    </row>
    <row r="171" spans="11:11" x14ac:dyDescent="0.65">
      <c r="K171" s="59"/>
    </row>
    <row r="172" spans="11:11" x14ac:dyDescent="0.65">
      <c r="K172" s="59"/>
    </row>
    <row r="173" spans="11:11" x14ac:dyDescent="0.65">
      <c r="K173" s="59"/>
    </row>
    <row r="174" spans="11:11" x14ac:dyDescent="0.65">
      <c r="K174" s="59"/>
    </row>
    <row r="175" spans="11:11" x14ac:dyDescent="0.65">
      <c r="K175" s="59"/>
    </row>
    <row r="176" spans="11:11" x14ac:dyDescent="0.65">
      <c r="K176" s="59"/>
    </row>
    <row r="177" spans="11:11" x14ac:dyDescent="0.65">
      <c r="K177" s="59"/>
    </row>
    <row r="178" spans="11:11" x14ac:dyDescent="0.65">
      <c r="K178" s="59"/>
    </row>
    <row r="179" spans="11:11" x14ac:dyDescent="0.65">
      <c r="K179" s="59"/>
    </row>
    <row r="180" spans="11:11" x14ac:dyDescent="0.65">
      <c r="K180" s="59"/>
    </row>
    <row r="181" spans="11:11" x14ac:dyDescent="0.65">
      <c r="K181" s="59"/>
    </row>
    <row r="182" spans="11:11" x14ac:dyDescent="0.65">
      <c r="K182" s="59"/>
    </row>
    <row r="183" spans="11:11" x14ac:dyDescent="0.65">
      <c r="K183" s="59"/>
    </row>
    <row r="184" spans="11:11" x14ac:dyDescent="0.65">
      <c r="K184" s="59"/>
    </row>
    <row r="185" spans="11:11" x14ac:dyDescent="0.65">
      <c r="K185" s="59"/>
    </row>
    <row r="186" spans="11:11" x14ac:dyDescent="0.65">
      <c r="K186" s="59"/>
    </row>
    <row r="187" spans="11:11" x14ac:dyDescent="0.65">
      <c r="K187" s="59"/>
    </row>
    <row r="188" spans="11:11" x14ac:dyDescent="0.65">
      <c r="K188" s="59"/>
    </row>
    <row r="189" spans="11:11" x14ac:dyDescent="0.65">
      <c r="K189" s="59"/>
    </row>
    <row r="190" spans="11:11" x14ac:dyDescent="0.65">
      <c r="K190" s="59"/>
    </row>
    <row r="191" spans="11:11" x14ac:dyDescent="0.65">
      <c r="K191" s="59"/>
    </row>
    <row r="192" spans="11:11" x14ac:dyDescent="0.65">
      <c r="K192" s="59"/>
    </row>
    <row r="193" spans="11:11" x14ac:dyDescent="0.65">
      <c r="K193" s="59"/>
    </row>
    <row r="194" spans="11:11" x14ac:dyDescent="0.65">
      <c r="K194" s="59"/>
    </row>
    <row r="195" spans="11:11" x14ac:dyDescent="0.65">
      <c r="K195" s="59"/>
    </row>
    <row r="196" spans="11:11" x14ac:dyDescent="0.65">
      <c r="K196" s="59"/>
    </row>
    <row r="197" spans="11:11" x14ac:dyDescent="0.65">
      <c r="K197" s="59"/>
    </row>
    <row r="198" spans="11:11" x14ac:dyDescent="0.65">
      <c r="K198" s="59"/>
    </row>
    <row r="199" spans="11:11" x14ac:dyDescent="0.65">
      <c r="K199" s="59"/>
    </row>
    <row r="200" spans="11:11" x14ac:dyDescent="0.65">
      <c r="K200" s="59"/>
    </row>
    <row r="201" spans="11:11" x14ac:dyDescent="0.65">
      <c r="K201" s="59"/>
    </row>
    <row r="202" spans="11:11" x14ac:dyDescent="0.65">
      <c r="K202" s="59"/>
    </row>
    <row r="203" spans="11:11" x14ac:dyDescent="0.65">
      <c r="K203" s="59"/>
    </row>
    <row r="204" spans="11:11" x14ac:dyDescent="0.65">
      <c r="K204" s="59"/>
    </row>
    <row r="205" spans="11:11" x14ac:dyDescent="0.65">
      <c r="K205" s="59"/>
    </row>
    <row r="206" spans="11:11" x14ac:dyDescent="0.65">
      <c r="K206" s="59"/>
    </row>
    <row r="207" spans="11:11" x14ac:dyDescent="0.65">
      <c r="K207" s="59"/>
    </row>
    <row r="208" spans="11:11" x14ac:dyDescent="0.65">
      <c r="K208" s="59"/>
    </row>
    <row r="209" spans="11:11" x14ac:dyDescent="0.65">
      <c r="K209" s="59"/>
    </row>
    <row r="210" spans="11:11" x14ac:dyDescent="0.65">
      <c r="K210" s="59"/>
    </row>
    <row r="211" spans="11:11" x14ac:dyDescent="0.65">
      <c r="K211" s="59"/>
    </row>
    <row r="212" spans="11:11" x14ac:dyDescent="0.65">
      <c r="K212" s="59"/>
    </row>
    <row r="213" spans="11:11" x14ac:dyDescent="0.65">
      <c r="K213" s="59"/>
    </row>
    <row r="214" spans="11:11" x14ac:dyDescent="0.65">
      <c r="K214" s="59"/>
    </row>
    <row r="215" spans="11:11" x14ac:dyDescent="0.65">
      <c r="K215" s="59"/>
    </row>
    <row r="216" spans="11:11" x14ac:dyDescent="0.65">
      <c r="K216" s="59"/>
    </row>
    <row r="217" spans="11:11" x14ac:dyDescent="0.65">
      <c r="K217" s="59"/>
    </row>
    <row r="218" spans="11:11" x14ac:dyDescent="0.65">
      <c r="K218" s="59"/>
    </row>
    <row r="219" spans="11:11" x14ac:dyDescent="0.65">
      <c r="K219" s="59"/>
    </row>
    <row r="220" spans="11:11" x14ac:dyDescent="0.65">
      <c r="K220" s="59"/>
    </row>
    <row r="221" spans="11:11" x14ac:dyDescent="0.65">
      <c r="K221" s="59"/>
    </row>
    <row r="222" spans="11:11" x14ac:dyDescent="0.65">
      <c r="K222" s="59"/>
    </row>
    <row r="223" spans="11:11" x14ac:dyDescent="0.65">
      <c r="K223" s="59"/>
    </row>
    <row r="224" spans="11:11" x14ac:dyDescent="0.65">
      <c r="K224" s="59"/>
    </row>
    <row r="225" spans="11:11" x14ac:dyDescent="0.65">
      <c r="K225" s="59"/>
    </row>
    <row r="226" spans="11:11" x14ac:dyDescent="0.65">
      <c r="K226" s="59"/>
    </row>
    <row r="227" spans="11:11" x14ac:dyDescent="0.65">
      <c r="K227" s="59"/>
    </row>
    <row r="228" spans="11:11" x14ac:dyDescent="0.65">
      <c r="K228" s="59"/>
    </row>
    <row r="229" spans="11:11" x14ac:dyDescent="0.65">
      <c r="K229" s="59"/>
    </row>
    <row r="230" spans="11:11" x14ac:dyDescent="0.65">
      <c r="K230" s="59"/>
    </row>
    <row r="231" spans="11:11" x14ac:dyDescent="0.65">
      <c r="K231" s="59"/>
    </row>
    <row r="232" spans="11:11" x14ac:dyDescent="0.65">
      <c r="K232" s="59"/>
    </row>
    <row r="233" spans="11:11" x14ac:dyDescent="0.65">
      <c r="K233" s="59"/>
    </row>
    <row r="234" spans="11:11" x14ac:dyDescent="0.65">
      <c r="K234" s="59"/>
    </row>
    <row r="235" spans="11:11" x14ac:dyDescent="0.65">
      <c r="K235" s="59"/>
    </row>
    <row r="236" spans="11:11" x14ac:dyDescent="0.65">
      <c r="K236" s="59"/>
    </row>
    <row r="237" spans="11:11" x14ac:dyDescent="0.65">
      <c r="K237" s="59"/>
    </row>
    <row r="238" spans="11:11" x14ac:dyDescent="0.65">
      <c r="K238" s="59"/>
    </row>
    <row r="239" spans="11:11" x14ac:dyDescent="0.65">
      <c r="K239" s="59"/>
    </row>
    <row r="240" spans="11:11" x14ac:dyDescent="0.65">
      <c r="K240" s="59"/>
    </row>
    <row r="241" spans="11:11" x14ac:dyDescent="0.65">
      <c r="K241" s="59"/>
    </row>
    <row r="242" spans="11:11" x14ac:dyDescent="0.65">
      <c r="K242" s="59"/>
    </row>
    <row r="243" spans="11:11" x14ac:dyDescent="0.65">
      <c r="K243" s="59"/>
    </row>
    <row r="244" spans="11:11" x14ac:dyDescent="0.65">
      <c r="K244" s="59"/>
    </row>
    <row r="245" spans="11:11" x14ac:dyDescent="0.65">
      <c r="K245" s="59"/>
    </row>
    <row r="246" spans="11:11" x14ac:dyDescent="0.65">
      <c r="K246" s="59"/>
    </row>
    <row r="247" spans="11:11" x14ac:dyDescent="0.65">
      <c r="K247" s="59"/>
    </row>
    <row r="248" spans="11:11" x14ac:dyDescent="0.65">
      <c r="K248" s="59"/>
    </row>
    <row r="249" spans="11:11" x14ac:dyDescent="0.65">
      <c r="K249" s="59"/>
    </row>
    <row r="250" spans="11:11" x14ac:dyDescent="0.65">
      <c r="K250" s="59"/>
    </row>
    <row r="251" spans="11:11" x14ac:dyDescent="0.65">
      <c r="K251" s="59"/>
    </row>
    <row r="252" spans="11:11" x14ac:dyDescent="0.65">
      <c r="K252" s="59"/>
    </row>
    <row r="253" spans="11:11" x14ac:dyDescent="0.65">
      <c r="K253" s="59"/>
    </row>
    <row r="254" spans="11:11" x14ac:dyDescent="0.65">
      <c r="K254" s="59"/>
    </row>
    <row r="255" spans="11:11" x14ac:dyDescent="0.65">
      <c r="K255" s="59"/>
    </row>
    <row r="256" spans="11:11" x14ac:dyDescent="0.65">
      <c r="K256" s="59"/>
    </row>
    <row r="257" spans="11:11" x14ac:dyDescent="0.65">
      <c r="K257" s="59"/>
    </row>
    <row r="258" spans="11:11" x14ac:dyDescent="0.65">
      <c r="K258" s="59"/>
    </row>
    <row r="259" spans="11:11" x14ac:dyDescent="0.65">
      <c r="K259" s="59"/>
    </row>
    <row r="260" spans="11:11" x14ac:dyDescent="0.65">
      <c r="K260" s="59"/>
    </row>
    <row r="261" spans="11:11" x14ac:dyDescent="0.65">
      <c r="K261" s="59"/>
    </row>
    <row r="262" spans="11:11" x14ac:dyDescent="0.65">
      <c r="K262" s="59"/>
    </row>
    <row r="263" spans="11:11" x14ac:dyDescent="0.65">
      <c r="K263" s="59"/>
    </row>
    <row r="264" spans="11:11" x14ac:dyDescent="0.65">
      <c r="K264" s="59"/>
    </row>
    <row r="265" spans="11:11" x14ac:dyDescent="0.65">
      <c r="K265" s="59"/>
    </row>
    <row r="266" spans="11:11" x14ac:dyDescent="0.65">
      <c r="K266" s="59"/>
    </row>
    <row r="267" spans="11:11" x14ac:dyDescent="0.65">
      <c r="K267" s="59"/>
    </row>
    <row r="268" spans="11:11" x14ac:dyDescent="0.65">
      <c r="K268" s="59"/>
    </row>
    <row r="269" spans="11:11" x14ac:dyDescent="0.65">
      <c r="K269" s="59"/>
    </row>
    <row r="270" spans="11:11" x14ac:dyDescent="0.65">
      <c r="K270" s="59"/>
    </row>
    <row r="271" spans="11:11" x14ac:dyDescent="0.65">
      <c r="K271" s="59"/>
    </row>
    <row r="272" spans="11:11" x14ac:dyDescent="0.65">
      <c r="K272" s="59"/>
    </row>
    <row r="273" spans="11:11" x14ac:dyDescent="0.65">
      <c r="K273" s="59"/>
    </row>
    <row r="274" spans="11:11" x14ac:dyDescent="0.65">
      <c r="K274" s="59"/>
    </row>
    <row r="275" spans="11:11" x14ac:dyDescent="0.65">
      <c r="K275" s="59"/>
    </row>
    <row r="276" spans="11:11" x14ac:dyDescent="0.65">
      <c r="K276" s="59"/>
    </row>
    <row r="277" spans="11:11" x14ac:dyDescent="0.65">
      <c r="K277" s="59"/>
    </row>
    <row r="278" spans="11:11" x14ac:dyDescent="0.65">
      <c r="K278" s="59"/>
    </row>
    <row r="279" spans="11:11" x14ac:dyDescent="0.65">
      <c r="K279" s="59"/>
    </row>
    <row r="280" spans="11:11" x14ac:dyDescent="0.65">
      <c r="K280" s="59"/>
    </row>
    <row r="281" spans="11:11" x14ac:dyDescent="0.65">
      <c r="K281" s="59"/>
    </row>
    <row r="282" spans="11:11" x14ac:dyDescent="0.65">
      <c r="K282" s="59"/>
    </row>
    <row r="283" spans="11:11" x14ac:dyDescent="0.65">
      <c r="K283" s="59"/>
    </row>
    <row r="284" spans="11:11" x14ac:dyDescent="0.65">
      <c r="K284" s="59"/>
    </row>
    <row r="285" spans="11:11" x14ac:dyDescent="0.65">
      <c r="K285" s="59"/>
    </row>
    <row r="286" spans="11:11" x14ac:dyDescent="0.65">
      <c r="K286" s="59"/>
    </row>
    <row r="287" spans="11:11" x14ac:dyDescent="0.65">
      <c r="K287" s="59"/>
    </row>
    <row r="288" spans="11:11" x14ac:dyDescent="0.65">
      <c r="K288" s="59"/>
    </row>
    <row r="289" spans="11:11" x14ac:dyDescent="0.65">
      <c r="K289" s="59"/>
    </row>
    <row r="290" spans="11:11" x14ac:dyDescent="0.65">
      <c r="K290" s="59"/>
    </row>
    <row r="291" spans="11:11" x14ac:dyDescent="0.65">
      <c r="K291" s="59"/>
    </row>
    <row r="292" spans="11:11" x14ac:dyDescent="0.65">
      <c r="K292" s="59"/>
    </row>
    <row r="293" spans="11:11" x14ac:dyDescent="0.65">
      <c r="K293" s="59"/>
    </row>
    <row r="294" spans="11:11" x14ac:dyDescent="0.65">
      <c r="K294" s="59"/>
    </row>
    <row r="295" spans="11:11" x14ac:dyDescent="0.65">
      <c r="K295" s="59"/>
    </row>
    <row r="296" spans="11:11" x14ac:dyDescent="0.65">
      <c r="K296" s="59"/>
    </row>
    <row r="297" spans="11:11" x14ac:dyDescent="0.65">
      <c r="K297" s="59"/>
    </row>
    <row r="298" spans="11:11" x14ac:dyDescent="0.65">
      <c r="K298" s="59"/>
    </row>
    <row r="299" spans="11:11" x14ac:dyDescent="0.65">
      <c r="K299" s="59"/>
    </row>
    <row r="300" spans="11:11" x14ac:dyDescent="0.65">
      <c r="K300" s="59"/>
    </row>
    <row r="301" spans="11:11" x14ac:dyDescent="0.65">
      <c r="K301" s="59"/>
    </row>
    <row r="302" spans="11:11" x14ac:dyDescent="0.65">
      <c r="K302" s="59"/>
    </row>
    <row r="303" spans="11:11" x14ac:dyDescent="0.65">
      <c r="K303" s="59"/>
    </row>
    <row r="304" spans="11:11" x14ac:dyDescent="0.65">
      <c r="K304" s="59"/>
    </row>
    <row r="305" spans="11:11" x14ac:dyDescent="0.65">
      <c r="K305" s="59"/>
    </row>
    <row r="306" spans="11:11" x14ac:dyDescent="0.65">
      <c r="K306" s="59"/>
    </row>
    <row r="307" spans="11:11" x14ac:dyDescent="0.65">
      <c r="K307" s="59"/>
    </row>
    <row r="308" spans="11:11" x14ac:dyDescent="0.65">
      <c r="K308" s="59"/>
    </row>
    <row r="309" spans="11:11" x14ac:dyDescent="0.65">
      <c r="K309" s="59"/>
    </row>
    <row r="310" spans="11:11" x14ac:dyDescent="0.65">
      <c r="K310" s="59"/>
    </row>
    <row r="311" spans="11:11" x14ac:dyDescent="0.65">
      <c r="K311" s="59"/>
    </row>
    <row r="312" spans="11:11" x14ac:dyDescent="0.65">
      <c r="K312" s="59"/>
    </row>
    <row r="313" spans="11:11" x14ac:dyDescent="0.65">
      <c r="K313" s="59"/>
    </row>
    <row r="314" spans="11:11" x14ac:dyDescent="0.65">
      <c r="K314" s="59"/>
    </row>
    <row r="315" spans="11:11" x14ac:dyDescent="0.65">
      <c r="K315" s="59"/>
    </row>
    <row r="316" spans="11:11" x14ac:dyDescent="0.65">
      <c r="K316" s="59"/>
    </row>
    <row r="317" spans="11:11" x14ac:dyDescent="0.65">
      <c r="K317" s="59"/>
    </row>
    <row r="318" spans="11:11" x14ac:dyDescent="0.65">
      <c r="K318" s="59"/>
    </row>
    <row r="319" spans="11:11" x14ac:dyDescent="0.65">
      <c r="K319" s="59"/>
    </row>
    <row r="320" spans="11:11" x14ac:dyDescent="0.65">
      <c r="K320" s="59"/>
    </row>
    <row r="321" spans="11:11" x14ac:dyDescent="0.65">
      <c r="K321" s="59"/>
    </row>
    <row r="322" spans="11:11" x14ac:dyDescent="0.65">
      <c r="K322" s="59"/>
    </row>
    <row r="323" spans="11:11" x14ac:dyDescent="0.65">
      <c r="K323" s="59"/>
    </row>
    <row r="324" spans="11:11" x14ac:dyDescent="0.65">
      <c r="K324" s="59"/>
    </row>
    <row r="325" spans="11:11" x14ac:dyDescent="0.65">
      <c r="K325" s="59"/>
    </row>
    <row r="326" spans="11:11" x14ac:dyDescent="0.65">
      <c r="K326" s="59"/>
    </row>
    <row r="327" spans="11:11" x14ac:dyDescent="0.65">
      <c r="K327" s="59"/>
    </row>
    <row r="328" spans="11:11" x14ac:dyDescent="0.65">
      <c r="K328" s="59"/>
    </row>
    <row r="329" spans="11:11" x14ac:dyDescent="0.65">
      <c r="K329" s="59"/>
    </row>
    <row r="330" spans="11:11" x14ac:dyDescent="0.65">
      <c r="K330" s="59"/>
    </row>
    <row r="331" spans="11:11" x14ac:dyDescent="0.65">
      <c r="K331" s="59"/>
    </row>
    <row r="332" spans="11:11" x14ac:dyDescent="0.65">
      <c r="K332" s="59"/>
    </row>
    <row r="333" spans="11:11" x14ac:dyDescent="0.65">
      <c r="K333" s="59"/>
    </row>
    <row r="334" spans="11:11" x14ac:dyDescent="0.65">
      <c r="K334" s="59"/>
    </row>
    <row r="335" spans="11:11" x14ac:dyDescent="0.65">
      <c r="K335" s="59"/>
    </row>
    <row r="336" spans="11:11" x14ac:dyDescent="0.65">
      <c r="K336" s="59"/>
    </row>
    <row r="337" spans="11:11" x14ac:dyDescent="0.65">
      <c r="K337" s="59"/>
    </row>
    <row r="338" spans="11:11" x14ac:dyDescent="0.65">
      <c r="K338" s="59"/>
    </row>
    <row r="339" spans="11:11" x14ac:dyDescent="0.65">
      <c r="K339" s="59"/>
    </row>
    <row r="340" spans="11:11" x14ac:dyDescent="0.65">
      <c r="K340" s="59"/>
    </row>
    <row r="341" spans="11:11" x14ac:dyDescent="0.65">
      <c r="K341" s="59"/>
    </row>
    <row r="342" spans="11:11" x14ac:dyDescent="0.65">
      <c r="K342" s="59"/>
    </row>
    <row r="343" spans="11:11" x14ac:dyDescent="0.65">
      <c r="K343" s="59"/>
    </row>
    <row r="344" spans="11:11" x14ac:dyDescent="0.65">
      <c r="K344" s="59"/>
    </row>
    <row r="345" spans="11:11" x14ac:dyDescent="0.65">
      <c r="K345" s="59"/>
    </row>
    <row r="346" spans="11:11" x14ac:dyDescent="0.65">
      <c r="K346" s="59"/>
    </row>
    <row r="347" spans="11:11" x14ac:dyDescent="0.65">
      <c r="K347" s="59"/>
    </row>
    <row r="348" spans="11:11" x14ac:dyDescent="0.65">
      <c r="K348" s="59"/>
    </row>
    <row r="349" spans="11:11" x14ac:dyDescent="0.65">
      <c r="K349" s="59"/>
    </row>
    <row r="350" spans="11:11" x14ac:dyDescent="0.65">
      <c r="K350" s="59"/>
    </row>
    <row r="351" spans="11:11" x14ac:dyDescent="0.65">
      <c r="K351" s="59"/>
    </row>
    <row r="352" spans="11:11" x14ac:dyDescent="0.65">
      <c r="K352" s="59"/>
    </row>
    <row r="353" spans="11:11" x14ac:dyDescent="0.65">
      <c r="K353" s="59"/>
    </row>
    <row r="354" spans="11:11" x14ac:dyDescent="0.65">
      <c r="K354" s="59"/>
    </row>
    <row r="355" spans="11:11" x14ac:dyDescent="0.65">
      <c r="K355" s="59"/>
    </row>
    <row r="356" spans="11:11" x14ac:dyDescent="0.65">
      <c r="K356" s="59"/>
    </row>
    <row r="357" spans="11:11" x14ac:dyDescent="0.65">
      <c r="K357" s="59"/>
    </row>
    <row r="358" spans="11:11" x14ac:dyDescent="0.65">
      <c r="K358" s="59"/>
    </row>
    <row r="359" spans="11:11" x14ac:dyDescent="0.65">
      <c r="K359" s="59"/>
    </row>
    <row r="360" spans="11:11" x14ac:dyDescent="0.65">
      <c r="K360" s="59"/>
    </row>
    <row r="361" spans="11:11" x14ac:dyDescent="0.65">
      <c r="K361" s="59"/>
    </row>
    <row r="362" spans="11:11" x14ac:dyDescent="0.65">
      <c r="K362" s="59"/>
    </row>
    <row r="363" spans="11:11" x14ac:dyDescent="0.65">
      <c r="K363" s="59"/>
    </row>
    <row r="364" spans="11:11" x14ac:dyDescent="0.65">
      <c r="K364" s="59"/>
    </row>
    <row r="365" spans="11:11" x14ac:dyDescent="0.65">
      <c r="K365" s="59"/>
    </row>
    <row r="366" spans="11:11" x14ac:dyDescent="0.65">
      <c r="K366" s="59"/>
    </row>
    <row r="367" spans="11:11" x14ac:dyDescent="0.65">
      <c r="K367" s="59"/>
    </row>
    <row r="368" spans="11:11" x14ac:dyDescent="0.65">
      <c r="K368" s="59"/>
    </row>
    <row r="369" spans="11:11" x14ac:dyDescent="0.65">
      <c r="K369" s="59"/>
    </row>
    <row r="370" spans="11:11" x14ac:dyDescent="0.65">
      <c r="K370" s="59"/>
    </row>
    <row r="371" spans="11:11" x14ac:dyDescent="0.65">
      <c r="K371" s="59"/>
    </row>
    <row r="372" spans="11:11" x14ac:dyDescent="0.65">
      <c r="K372" s="59"/>
    </row>
    <row r="373" spans="11:11" x14ac:dyDescent="0.65">
      <c r="K373" s="59"/>
    </row>
    <row r="374" spans="11:11" x14ac:dyDescent="0.65">
      <c r="K374" s="59"/>
    </row>
    <row r="375" spans="11:11" x14ac:dyDescent="0.65">
      <c r="K375" s="59"/>
    </row>
    <row r="376" spans="11:11" x14ac:dyDescent="0.65">
      <c r="K376" s="59"/>
    </row>
    <row r="377" spans="11:11" x14ac:dyDescent="0.65">
      <c r="K377" s="59"/>
    </row>
    <row r="378" spans="11:11" x14ac:dyDescent="0.65">
      <c r="K378" s="59"/>
    </row>
    <row r="379" spans="11:11" x14ac:dyDescent="0.65">
      <c r="K379" s="59"/>
    </row>
    <row r="380" spans="11:11" x14ac:dyDescent="0.65">
      <c r="K380" s="59"/>
    </row>
    <row r="381" spans="11:11" x14ac:dyDescent="0.65">
      <c r="K381" s="59"/>
    </row>
    <row r="382" spans="11:11" x14ac:dyDescent="0.65">
      <c r="K382" s="59"/>
    </row>
    <row r="383" spans="11:11" x14ac:dyDescent="0.65">
      <c r="K383" s="59"/>
    </row>
    <row r="384" spans="11:11" x14ac:dyDescent="0.65">
      <c r="K384" s="59"/>
    </row>
    <row r="385" spans="11:11" x14ac:dyDescent="0.65">
      <c r="K385" s="59"/>
    </row>
    <row r="386" spans="11:11" x14ac:dyDescent="0.65">
      <c r="K386" s="59"/>
    </row>
    <row r="387" spans="11:11" x14ac:dyDescent="0.65">
      <c r="K387" s="59"/>
    </row>
    <row r="388" spans="11:11" x14ac:dyDescent="0.65">
      <c r="K388" s="59"/>
    </row>
    <row r="389" spans="11:11" x14ac:dyDescent="0.65">
      <c r="K389" s="59"/>
    </row>
    <row r="390" spans="11:11" x14ac:dyDescent="0.65">
      <c r="K390" s="59"/>
    </row>
    <row r="391" spans="11:11" x14ac:dyDescent="0.65">
      <c r="K391" s="59"/>
    </row>
    <row r="392" spans="11:11" x14ac:dyDescent="0.65">
      <c r="K392" s="59"/>
    </row>
    <row r="393" spans="11:11" x14ac:dyDescent="0.65">
      <c r="K393" s="59"/>
    </row>
    <row r="394" spans="11:11" x14ac:dyDescent="0.65">
      <c r="K394" s="59"/>
    </row>
    <row r="395" spans="11:11" x14ac:dyDescent="0.65">
      <c r="K395" s="59"/>
    </row>
    <row r="396" spans="11:11" x14ac:dyDescent="0.65">
      <c r="K396" s="59"/>
    </row>
    <row r="397" spans="11:11" x14ac:dyDescent="0.65">
      <c r="K397" s="59"/>
    </row>
    <row r="398" spans="11:11" x14ac:dyDescent="0.65">
      <c r="K398" s="59"/>
    </row>
    <row r="399" spans="11:11" x14ac:dyDescent="0.65">
      <c r="K399" s="59"/>
    </row>
    <row r="400" spans="11:11" x14ac:dyDescent="0.65">
      <c r="K400" s="59"/>
    </row>
    <row r="401" spans="11:11" x14ac:dyDescent="0.65">
      <c r="K401" s="59"/>
    </row>
    <row r="402" spans="11:11" x14ac:dyDescent="0.65">
      <c r="K402" s="59"/>
    </row>
    <row r="403" spans="11:11" x14ac:dyDescent="0.65">
      <c r="K403" s="59"/>
    </row>
    <row r="404" spans="11:11" x14ac:dyDescent="0.65">
      <c r="K404" s="59"/>
    </row>
    <row r="405" spans="11:11" x14ac:dyDescent="0.65">
      <c r="K405" s="59"/>
    </row>
    <row r="406" spans="11:11" x14ac:dyDescent="0.65">
      <c r="K406" s="59"/>
    </row>
    <row r="407" spans="11:11" x14ac:dyDescent="0.65">
      <c r="K407" s="59"/>
    </row>
    <row r="408" spans="11:11" x14ac:dyDescent="0.65">
      <c r="K408" s="59"/>
    </row>
    <row r="409" spans="11:11" x14ac:dyDescent="0.65">
      <c r="K409" s="59"/>
    </row>
    <row r="410" spans="11:11" x14ac:dyDescent="0.65">
      <c r="K410" s="59"/>
    </row>
    <row r="411" spans="11:11" x14ac:dyDescent="0.65">
      <c r="K411" s="59"/>
    </row>
    <row r="412" spans="11:11" x14ac:dyDescent="0.65">
      <c r="K412" s="59"/>
    </row>
    <row r="413" spans="11:11" x14ac:dyDescent="0.65">
      <c r="K413" s="59"/>
    </row>
    <row r="414" spans="11:11" x14ac:dyDescent="0.65">
      <c r="K414" s="59"/>
    </row>
    <row r="415" spans="11:11" x14ac:dyDescent="0.65">
      <c r="K415" s="59"/>
    </row>
    <row r="416" spans="11:11" x14ac:dyDescent="0.65">
      <c r="K416" s="59"/>
    </row>
    <row r="417" spans="11:11" x14ac:dyDescent="0.65">
      <c r="K417" s="59"/>
    </row>
    <row r="418" spans="11:11" x14ac:dyDescent="0.65">
      <c r="K418" s="59"/>
    </row>
    <row r="419" spans="11:11" x14ac:dyDescent="0.65">
      <c r="K419" s="59"/>
    </row>
    <row r="420" spans="11:11" x14ac:dyDescent="0.65">
      <c r="K420" s="59"/>
    </row>
    <row r="421" spans="11:11" x14ac:dyDescent="0.65">
      <c r="K421" s="59"/>
    </row>
    <row r="422" spans="11:11" x14ac:dyDescent="0.65">
      <c r="K422" s="59"/>
    </row>
    <row r="423" spans="11:11" x14ac:dyDescent="0.65">
      <c r="K423" s="59"/>
    </row>
    <row r="424" spans="11:11" x14ac:dyDescent="0.65">
      <c r="K424" s="59"/>
    </row>
    <row r="425" spans="11:11" x14ac:dyDescent="0.65">
      <c r="K425" s="59"/>
    </row>
    <row r="426" spans="11:11" x14ac:dyDescent="0.65">
      <c r="K426" s="59"/>
    </row>
    <row r="427" spans="11:11" x14ac:dyDescent="0.65">
      <c r="K427" s="59"/>
    </row>
    <row r="428" spans="11:11" x14ac:dyDescent="0.65">
      <c r="K428" s="59"/>
    </row>
    <row r="429" spans="11:11" x14ac:dyDescent="0.65">
      <c r="K429" s="59"/>
    </row>
    <row r="430" spans="11:11" x14ac:dyDescent="0.65">
      <c r="K430" s="59"/>
    </row>
    <row r="431" spans="11:11" x14ac:dyDescent="0.65">
      <c r="K431" s="59"/>
    </row>
    <row r="432" spans="11:11" x14ac:dyDescent="0.65">
      <c r="K432" s="59"/>
    </row>
    <row r="433" spans="11:11" x14ac:dyDescent="0.65">
      <c r="K433" s="59"/>
    </row>
    <row r="434" spans="11:11" x14ac:dyDescent="0.65">
      <c r="K434" s="59"/>
    </row>
    <row r="435" spans="11:11" x14ac:dyDescent="0.65">
      <c r="K435" s="59"/>
    </row>
    <row r="436" spans="11:11" x14ac:dyDescent="0.65">
      <c r="K436" s="59"/>
    </row>
    <row r="437" spans="11:11" x14ac:dyDescent="0.65">
      <c r="K437" s="59"/>
    </row>
    <row r="438" spans="11:11" x14ac:dyDescent="0.65">
      <c r="K438" s="59"/>
    </row>
    <row r="439" spans="11:11" x14ac:dyDescent="0.65">
      <c r="K439" s="59"/>
    </row>
    <row r="440" spans="11:11" x14ac:dyDescent="0.65">
      <c r="K440" s="59"/>
    </row>
    <row r="441" spans="11:11" x14ac:dyDescent="0.65">
      <c r="K441" s="59"/>
    </row>
    <row r="442" spans="11:11" x14ac:dyDescent="0.65">
      <c r="K442" s="59"/>
    </row>
    <row r="443" spans="11:11" x14ac:dyDescent="0.65">
      <c r="K443" s="59"/>
    </row>
    <row r="444" spans="11:11" x14ac:dyDescent="0.65">
      <c r="K444" s="59"/>
    </row>
    <row r="445" spans="11:11" x14ac:dyDescent="0.65">
      <c r="K445" s="59"/>
    </row>
    <row r="446" spans="11:11" x14ac:dyDescent="0.65">
      <c r="K446" s="59"/>
    </row>
    <row r="447" spans="11:11" x14ac:dyDescent="0.65">
      <c r="K447" s="59"/>
    </row>
    <row r="448" spans="11:11" x14ac:dyDescent="0.65">
      <c r="K448" s="59"/>
    </row>
    <row r="449" spans="11:11" x14ac:dyDescent="0.65">
      <c r="K449" s="59"/>
    </row>
    <row r="450" spans="11:11" x14ac:dyDescent="0.65">
      <c r="K450" s="59"/>
    </row>
    <row r="451" spans="11:11" x14ac:dyDescent="0.65">
      <c r="K451" s="59"/>
    </row>
    <row r="452" spans="11:11" x14ac:dyDescent="0.65">
      <c r="K452" s="59"/>
    </row>
    <row r="453" spans="11:11" x14ac:dyDescent="0.65">
      <c r="K453" s="59"/>
    </row>
    <row r="454" spans="11:11" x14ac:dyDescent="0.65">
      <c r="K454" s="59"/>
    </row>
    <row r="455" spans="11:11" x14ac:dyDescent="0.65">
      <c r="K455" s="59"/>
    </row>
    <row r="456" spans="11:11" x14ac:dyDescent="0.65">
      <c r="K456" s="59"/>
    </row>
    <row r="457" spans="11:11" x14ac:dyDescent="0.65">
      <c r="K457" s="59"/>
    </row>
    <row r="458" spans="11:11" x14ac:dyDescent="0.65">
      <c r="K458" s="59"/>
    </row>
    <row r="459" spans="11:11" x14ac:dyDescent="0.65">
      <c r="K459" s="59"/>
    </row>
    <row r="460" spans="11:11" x14ac:dyDescent="0.65">
      <c r="K460" s="59"/>
    </row>
    <row r="461" spans="11:11" x14ac:dyDescent="0.65">
      <c r="K461" s="59"/>
    </row>
    <row r="462" spans="11:11" x14ac:dyDescent="0.65">
      <c r="K462" s="59"/>
    </row>
    <row r="463" spans="11:11" x14ac:dyDescent="0.65">
      <c r="K463" s="59"/>
    </row>
    <row r="464" spans="11:11" x14ac:dyDescent="0.65">
      <c r="K464" s="59"/>
    </row>
    <row r="465" spans="11:11" x14ac:dyDescent="0.65">
      <c r="K465" s="59"/>
    </row>
    <row r="466" spans="11:11" x14ac:dyDescent="0.65">
      <c r="K466" s="59"/>
    </row>
    <row r="467" spans="11:11" x14ac:dyDescent="0.65">
      <c r="K467" s="59"/>
    </row>
    <row r="468" spans="11:11" x14ac:dyDescent="0.65">
      <c r="K468" s="59"/>
    </row>
    <row r="469" spans="11:11" x14ac:dyDescent="0.65">
      <c r="K469" s="59"/>
    </row>
    <row r="470" spans="11:11" x14ac:dyDescent="0.65">
      <c r="K470" s="59"/>
    </row>
  </sheetData>
  <sortState xmlns:xlrd2="http://schemas.microsoft.com/office/spreadsheetml/2017/richdata2" ref="M33:Q65">
    <sortCondition ref="M33:M65"/>
  </sortState>
  <mergeCells count="1">
    <mergeCell ref="G44:H44"/>
  </mergeCells>
  <hyperlinks>
    <hyperlink ref="B40" r:id="rId1" display="https://rmi.org/three-questions-wisconsinites-are-asking-about-heat-pumps/" xr:uid="{363DCC69-851B-4E58-ABE3-B46C7BC30A2A}"/>
    <hyperlink ref="L70" r:id="rId2" display="https://www.epa.gov/watersense/showerheads" xr:uid="{D0761DAF-05DD-4CC6-9474-58A729B2B1AA}"/>
    <hyperlink ref="L71" r:id="rId3" display="https://www.epa.gov/watersense/bathroom-faucets" xr:uid="{305599AC-2181-4BE0-8261-63D8936C0457}"/>
    <hyperlink ref="N66" r:id="rId4" display="https://www.c2es.org/wp-content/uploads/2018/06/innovation-buildings-background-brief-07-18.pdf" xr:uid="{6E1425AE-A94A-4AD9-82C9-365F47A4523B}"/>
    <hyperlink ref="L79" r:id="rId5" xr:uid="{C3548F80-3194-4A07-A5DE-EFC2409F5E54}"/>
    <hyperlink ref="L80" r:id="rId6" xr:uid="{1AA14C5E-F7AD-4080-94E6-C5ED1FB5CA58}"/>
    <hyperlink ref="A75" r:id="rId7" xr:uid="{5CE100B2-126A-41C9-907D-F01F0234C969}"/>
    <hyperlink ref="B69" r:id="rId8" display="https://www.energycodes.gov/sites/default/files/2021-07/EED_1365_BROCH_StateEnergyCodes_states_MINNESOTA.pdf" xr:uid="{C0CF76FB-8F19-451F-A5A1-C776A582D641}"/>
    <hyperlink ref="B70" r:id="rId9" display="https://www.energycodes.gov/sites/default/files/2021-07/EED_1365_BROCH_StateEnergyCodes_states_WISCONSIN.pdf" xr:uid="{7D106FC3-4ACC-4948-8857-2D755279A2A2}"/>
    <hyperlink ref="A78" r:id="rId10" xr:uid="{79FC68EE-666B-497E-AC55-9EDDBC7B2D9C}"/>
  </hyperlinks>
  <pageMargins left="0.7" right="0.7" top="0.75" bottom="0.75" header="0.3" footer="0.3"/>
  <legacyDrawing r:id="rId1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239B6-4D34-4768-8C5E-3068FD468526}">
  <sheetPr>
    <tabColor theme="8"/>
  </sheetPr>
  <dimension ref="A1:N48"/>
  <sheetViews>
    <sheetView workbookViewId="0">
      <pane ySplit="1" topLeftCell="A2" activePane="bottomLeft" state="frozen"/>
      <selection activeCell="I14" sqref="I14"/>
      <selection pane="bottomLeft" activeCell="I14" sqref="I14"/>
    </sheetView>
  </sheetViews>
  <sheetFormatPr defaultRowHeight="14.25" x14ac:dyDescent="0.65"/>
  <cols>
    <col min="1" max="1" width="21.625" bestFit="1" customWidth="1"/>
    <col min="2" max="2" width="17.5" style="12" bestFit="1" customWidth="1"/>
    <col min="3" max="3" width="16.25" bestFit="1" customWidth="1"/>
    <col min="4" max="4" width="13.625" bestFit="1" customWidth="1"/>
    <col min="5" max="8" width="18.25" customWidth="1"/>
    <col min="9" max="10" width="19.375" customWidth="1"/>
    <col min="11" max="11" width="22" customWidth="1"/>
    <col min="12" max="12" width="19.375" customWidth="1"/>
    <col min="13" max="13" width="17.875" customWidth="1"/>
  </cols>
  <sheetData>
    <row r="1" spans="1:14" ht="23.25" customHeight="1" x14ac:dyDescent="1">
      <c r="A1" s="327" t="s">
        <v>499</v>
      </c>
      <c r="B1" s="1581" t="str">
        <f>'Tribal Measure Tool'!H6</f>
        <v>Type Name Here</v>
      </c>
      <c r="C1" s="1581"/>
      <c r="D1" s="1580" t="s">
        <v>504</v>
      </c>
      <c r="E1" s="1580"/>
      <c r="F1" s="1580"/>
      <c r="G1" s="1580"/>
      <c r="H1" s="1580"/>
      <c r="I1" s="1580"/>
      <c r="J1" s="335">
        <f>'Tribal Measure Tool'!E5</f>
        <v>1216</v>
      </c>
      <c r="L1" t="s">
        <v>950</v>
      </c>
      <c r="M1" s="560">
        <v>1213</v>
      </c>
    </row>
    <row r="2" spans="1:14" ht="21" x14ac:dyDescent="0.65">
      <c r="A2" s="336">
        <v>1</v>
      </c>
      <c r="B2" s="336">
        <v>2</v>
      </c>
      <c r="C2" s="336">
        <v>3</v>
      </c>
      <c r="D2" s="336">
        <v>4</v>
      </c>
      <c r="E2" s="336">
        <v>5</v>
      </c>
      <c r="F2" s="336">
        <v>6</v>
      </c>
      <c r="G2" s="336">
        <v>7</v>
      </c>
      <c r="H2" s="336">
        <v>8</v>
      </c>
      <c r="I2" s="336">
        <v>9</v>
      </c>
      <c r="J2" s="336">
        <v>10</v>
      </c>
      <c r="K2" s="336">
        <v>11</v>
      </c>
      <c r="L2" s="336">
        <v>12</v>
      </c>
      <c r="M2" s="336">
        <v>13</v>
      </c>
      <c r="N2" s="336"/>
    </row>
    <row r="3" spans="1:14" s="59" customFormat="1" ht="18.5" x14ac:dyDescent="0.65">
      <c r="A3" s="1578" t="s">
        <v>364</v>
      </c>
      <c r="B3" s="1579"/>
      <c r="C3" s="1579"/>
      <c r="D3" s="1579"/>
      <c r="E3" s="1579"/>
      <c r="F3" s="1579"/>
      <c r="G3" s="1579"/>
      <c r="H3" s="1579"/>
      <c r="I3" s="1579"/>
      <c r="J3" s="1579"/>
      <c r="K3" s="1579"/>
    </row>
    <row r="4" spans="1:14" s="16" customFormat="1" ht="58" x14ac:dyDescent="0.7">
      <c r="B4" s="16" t="s">
        <v>518</v>
      </c>
      <c r="C4" s="16" t="s">
        <v>511</v>
      </c>
      <c r="D4" s="340" t="s">
        <v>521</v>
      </c>
      <c r="E4" s="16" t="s">
        <v>512</v>
      </c>
      <c r="F4" s="16" t="s">
        <v>498</v>
      </c>
      <c r="G4" s="16" t="s">
        <v>514</v>
      </c>
      <c r="H4" s="16" t="s">
        <v>513</v>
      </c>
      <c r="I4" s="16" t="s">
        <v>510</v>
      </c>
      <c r="J4" s="16" t="s">
        <v>515</v>
      </c>
      <c r="K4" s="16" t="s">
        <v>516</v>
      </c>
      <c r="L4" s="16" t="s">
        <v>495</v>
      </c>
      <c r="M4" s="16" t="s">
        <v>497</v>
      </c>
    </row>
    <row r="5" spans="1:14" x14ac:dyDescent="0.65">
      <c r="A5" s="353">
        <f>'Tribal Measure Tool'!H30</f>
        <v>0</v>
      </c>
      <c r="B5" s="572">
        <f>VLOOKUP($B$1,'Tool Reference'!$A$11:K$11,7,FALSE)</f>
        <v>0</v>
      </c>
      <c r="C5">
        <f>A5*B5</f>
        <v>0</v>
      </c>
      <c r="D5">
        <v>6.2</v>
      </c>
      <c r="E5">
        <f>D5*C5</f>
        <v>0</v>
      </c>
      <c r="F5">
        <v>1.5</v>
      </c>
      <c r="G5" s="19">
        <f>F5*E5</f>
        <v>0</v>
      </c>
      <c r="H5">
        <f>G5/1000</f>
        <v>0</v>
      </c>
      <c r="I5" s="159">
        <f>H5*$J$1*Factors!$N$27</f>
        <v>0</v>
      </c>
      <c r="J5" s="159">
        <f>('Tribal Measure Tool'!E30)*(1-A5) +Transportation!I5</f>
        <v>0</v>
      </c>
      <c r="K5" s="159">
        <f>'Tribal Measure Tool'!E30-Transportation!J5</f>
        <v>0</v>
      </c>
      <c r="L5" s="154" t="e">
        <f>K5/'Tribal Measure Tool'!E30</f>
        <v>#DIV/0!</v>
      </c>
      <c r="M5" s="154" t="e">
        <f>L5*'Tribal Measure Tool'!F29</f>
        <v>#DIV/0!</v>
      </c>
    </row>
    <row r="6" spans="1:14" x14ac:dyDescent="0.65">
      <c r="A6" s="21"/>
      <c r="G6" s="19"/>
      <c r="I6" s="159">
        <f>H6*$J$1*Factors!$N$27</f>
        <v>0</v>
      </c>
      <c r="J6" s="159"/>
      <c r="K6" s="159"/>
      <c r="L6" s="154"/>
      <c r="M6" s="154"/>
    </row>
    <row r="7" spans="1:14" s="498" customFormat="1" ht="14.5" x14ac:dyDescent="0.7">
      <c r="A7" s="491">
        <v>1</v>
      </c>
      <c r="B7" s="571" t="e">
        <f>SUM('Tool Reference'!#REF!)</f>
        <v>#REF!</v>
      </c>
      <c r="C7" s="498" t="e">
        <f>A7*B7</f>
        <v>#REF!</v>
      </c>
      <c r="D7" s="498">
        <v>6.2</v>
      </c>
      <c r="E7" s="498" t="e">
        <f>C7*D7</f>
        <v>#REF!</v>
      </c>
      <c r="F7" s="498">
        <v>1.5</v>
      </c>
      <c r="G7" s="498" t="e">
        <f>E7*F7</f>
        <v>#REF!</v>
      </c>
      <c r="H7" s="498" t="e">
        <f>G7/1000</f>
        <v>#REF!</v>
      </c>
      <c r="I7" s="522" t="e">
        <f>H7*$M$1*Factors!$N$27</f>
        <v>#REF!</v>
      </c>
      <c r="J7" s="522" t="e">
        <f>SUM('Tool Reference'!#REF!)*(1-A7)+I7</f>
        <v>#REF!</v>
      </c>
      <c r="K7" s="522" t="e">
        <f>SUM('Tool Reference'!#REF!)-J7</f>
        <v>#REF!</v>
      </c>
    </row>
    <row r="8" spans="1:14" s="59" customFormat="1" ht="18.5" x14ac:dyDescent="0.65">
      <c r="A8" s="1578" t="s">
        <v>360</v>
      </c>
      <c r="B8" s="1579"/>
      <c r="C8" s="1579"/>
      <c r="D8" s="1579"/>
      <c r="E8" s="1579"/>
      <c r="F8" s="1579"/>
      <c r="G8" s="1579"/>
      <c r="H8" s="1579"/>
      <c r="I8" s="1579"/>
      <c r="J8" s="1579"/>
      <c r="K8" s="1579"/>
    </row>
    <row r="9" spans="1:14" ht="58" x14ac:dyDescent="0.7">
      <c r="A9" s="16"/>
      <c r="B9" s="16" t="s">
        <v>517</v>
      </c>
      <c r="C9" s="16" t="s">
        <v>519</v>
      </c>
      <c r="D9" s="340" t="s">
        <v>522</v>
      </c>
      <c r="E9" s="16" t="s">
        <v>512</v>
      </c>
      <c r="F9" s="16" t="s">
        <v>498</v>
      </c>
      <c r="G9" s="16" t="s">
        <v>514</v>
      </c>
      <c r="H9" s="16" t="s">
        <v>513</v>
      </c>
      <c r="I9" s="16" t="s">
        <v>510</v>
      </c>
      <c r="J9" s="16" t="s">
        <v>515</v>
      </c>
      <c r="K9" s="16" t="s">
        <v>516</v>
      </c>
      <c r="L9" s="16" t="s">
        <v>495</v>
      </c>
      <c r="M9" s="16" t="s">
        <v>497</v>
      </c>
    </row>
    <row r="10" spans="1:14" x14ac:dyDescent="0.65">
      <c r="A10" s="353">
        <f>'Tribal Measure Tool'!$H$29</f>
        <v>0</v>
      </c>
      <c r="B10" s="572">
        <f>VLOOKUP($B$1,'Tool Reference'!$A$11:K$11,6,FALSE)</f>
        <v>0</v>
      </c>
      <c r="C10" s="500">
        <f>A10*B10</f>
        <v>0</v>
      </c>
      <c r="D10" s="500">
        <v>24.2</v>
      </c>
      <c r="E10" s="500">
        <f>D10*C10</f>
        <v>0</v>
      </c>
      <c r="F10" s="500">
        <v>0.35</v>
      </c>
      <c r="G10" s="500">
        <f>F10*E10</f>
        <v>0</v>
      </c>
      <c r="H10" s="500">
        <f>G10/1000</f>
        <v>0</v>
      </c>
      <c r="I10" s="500">
        <f>H10*$J$1*Factors!$N$27</f>
        <v>0</v>
      </c>
      <c r="J10" s="159">
        <f>('Tribal Measure Tool'!E29)*(1-A10) +Transportation!I10</f>
        <v>0</v>
      </c>
      <c r="K10" s="159">
        <f>'Tribal Measure Tool'!E29-Transportation!J10</f>
        <v>0</v>
      </c>
      <c r="L10" s="154" t="e">
        <f>K10/'Tribal Measure Tool'!E29</f>
        <v>#DIV/0!</v>
      </c>
      <c r="M10" s="154" t="e">
        <f>L10*'Tribal Measure Tool'!F29</f>
        <v>#DIV/0!</v>
      </c>
    </row>
    <row r="11" spans="1:14" x14ac:dyDescent="0.65">
      <c r="D11" s="18"/>
    </row>
    <row r="12" spans="1:14" ht="14.5" x14ac:dyDescent="0.7">
      <c r="A12" s="575">
        <v>0.8</v>
      </c>
      <c r="B12" s="573" t="e">
        <f>SUM('Tool Reference'!#REF!)</f>
        <v>#REF!</v>
      </c>
      <c r="C12" s="574" t="e">
        <f>A12*B12</f>
        <v>#REF!</v>
      </c>
      <c r="D12" s="574">
        <v>24.2</v>
      </c>
      <c r="E12" s="574" t="e">
        <f>D12*C12</f>
        <v>#REF!</v>
      </c>
      <c r="F12" s="574">
        <v>0.35</v>
      </c>
      <c r="G12" s="574" t="e">
        <f>E12*F12</f>
        <v>#REF!</v>
      </c>
      <c r="H12" s="574" t="e">
        <f>G12/1000</f>
        <v>#REF!</v>
      </c>
      <c r="I12" s="574" t="e">
        <f>H12*$M$1*Factors!$N$27</f>
        <v>#REF!</v>
      </c>
      <c r="J12" s="574" t="e">
        <f>(SUM('Tool Reference'!#REF!))*(1-A12) +I12</f>
        <v>#REF!</v>
      </c>
      <c r="K12" s="574" t="e">
        <f>SUM('Tool Reference'!#REF!) - J12</f>
        <v>#REF!</v>
      </c>
      <c r="L12" s="498"/>
    </row>
    <row r="13" spans="1:14" s="59" customFormat="1" ht="18.5" x14ac:dyDescent="0.65">
      <c r="A13" s="1578" t="s">
        <v>361</v>
      </c>
      <c r="B13" s="1579"/>
      <c r="C13" s="1579"/>
      <c r="D13" s="1579"/>
      <c r="E13" s="1579"/>
      <c r="F13" s="1579"/>
      <c r="G13" s="1579"/>
      <c r="H13" s="1579"/>
      <c r="I13" s="1579"/>
      <c r="J13" s="1579"/>
      <c r="K13" s="1579"/>
    </row>
    <row r="14" spans="1:14" s="1" customFormat="1" ht="43.5" x14ac:dyDescent="0.7">
      <c r="A14" s="16"/>
      <c r="B14" s="16" t="s">
        <v>524</v>
      </c>
      <c r="C14" s="16" t="s">
        <v>523</v>
      </c>
      <c r="D14" s="7" t="s">
        <v>525</v>
      </c>
      <c r="E14" s="16" t="s">
        <v>516</v>
      </c>
      <c r="F14" s="16" t="s">
        <v>495</v>
      </c>
      <c r="G14" s="16" t="s">
        <v>497</v>
      </c>
    </row>
    <row r="15" spans="1:14" ht="15.5" x14ac:dyDescent="0.7">
      <c r="A15" s="353">
        <f>'Tribal Measure Tool'!$H$32</f>
        <v>0</v>
      </c>
      <c r="B15" s="500">
        <f>'Tribal Measure Tool'!$E$32</f>
        <v>0</v>
      </c>
      <c r="C15" s="341">
        <v>0.1</v>
      </c>
      <c r="E15" s="159">
        <f>A15*C15*B15</f>
        <v>0</v>
      </c>
      <c r="F15" s="154" t="e">
        <f>E15/'Tribal Measure Tool'!E32</f>
        <v>#DIV/0!</v>
      </c>
      <c r="G15" s="154" t="e">
        <f>F15*'Tribal Measure Tool'!F32</f>
        <v>#DIV/0!</v>
      </c>
      <c r="I15" s="1109" t="s">
        <v>1242</v>
      </c>
    </row>
    <row r="17" spans="1:11" x14ac:dyDescent="0.65">
      <c r="A17" s="470">
        <v>0.3</v>
      </c>
      <c r="B17" s="576" t="e">
        <f>SUM('Tool Reference'!#REF!)</f>
        <v>#REF!</v>
      </c>
      <c r="C17" s="470">
        <v>0.1</v>
      </c>
      <c r="E17" s="522" t="e">
        <f>A17*C17*B17</f>
        <v>#REF!</v>
      </c>
    </row>
    <row r="18" spans="1:11" s="59" customFormat="1" ht="18.5" x14ac:dyDescent="0.65">
      <c r="A18" s="1578" t="s">
        <v>362</v>
      </c>
      <c r="B18" s="1579"/>
      <c r="C18" s="1579"/>
      <c r="D18" s="1579"/>
      <c r="E18" s="1579"/>
      <c r="F18" s="1579"/>
      <c r="G18" s="1579"/>
      <c r="H18" s="1579"/>
      <c r="I18" s="1579"/>
      <c r="J18" s="1579"/>
      <c r="K18" s="1579"/>
    </row>
    <row r="19" spans="1:11" s="1" customFormat="1" ht="43.5" x14ac:dyDescent="0.7">
      <c r="A19" s="16"/>
      <c r="B19" s="16" t="s">
        <v>524</v>
      </c>
      <c r="C19" s="16" t="s">
        <v>523</v>
      </c>
      <c r="D19" s="7" t="s">
        <v>525</v>
      </c>
      <c r="E19" s="16" t="s">
        <v>516</v>
      </c>
      <c r="F19" s="16" t="s">
        <v>495</v>
      </c>
      <c r="G19" s="16" t="s">
        <v>497</v>
      </c>
    </row>
    <row r="20" spans="1:11" x14ac:dyDescent="0.65">
      <c r="A20" s="353">
        <f>'Tribal Measure Tool'!$H$33</f>
        <v>0</v>
      </c>
      <c r="B20" s="8">
        <f>'Tribal Measure Tool'!$E$33</f>
        <v>0</v>
      </c>
      <c r="C20" s="341">
        <f>(0.96-0.64)/0.96</f>
        <v>0.33333333333333331</v>
      </c>
      <c r="E20" s="159">
        <f>A20*C20*B20</f>
        <v>0</v>
      </c>
      <c r="F20" s="154" t="e">
        <f>E20/'Tribal Measure Tool'!E33</f>
        <v>#DIV/0!</v>
      </c>
      <c r="G20" s="154" t="e">
        <f>F20*'Tribal Measure Tool'!F33</f>
        <v>#DIV/0!</v>
      </c>
    </row>
    <row r="22" spans="1:11" x14ac:dyDescent="0.65">
      <c r="A22" s="470">
        <v>0.1</v>
      </c>
      <c r="B22" s="576" t="e">
        <f>SUM('Tool Reference'!#REF!)</f>
        <v>#REF!</v>
      </c>
      <c r="C22" s="470">
        <v>0.33</v>
      </c>
      <c r="E22" s="522" t="e">
        <f>A22*C22*B22</f>
        <v>#REF!</v>
      </c>
    </row>
    <row r="23" spans="1:11" s="59" customFormat="1" ht="18.5" x14ac:dyDescent="0.65">
      <c r="A23" s="1578" t="s">
        <v>363</v>
      </c>
      <c r="B23" s="1579"/>
      <c r="C23" s="1579"/>
      <c r="D23" s="1579"/>
      <c r="E23" s="1579"/>
      <c r="F23" s="1579"/>
      <c r="G23" s="1579"/>
      <c r="H23" s="1579"/>
      <c r="I23" s="1579"/>
      <c r="J23" s="1579"/>
      <c r="K23" s="1579"/>
    </row>
    <row r="24" spans="1:11" s="1" customFormat="1" ht="43.5" x14ac:dyDescent="0.7">
      <c r="A24" s="16"/>
      <c r="B24" s="16" t="s">
        <v>524</v>
      </c>
      <c r="C24" s="16" t="s">
        <v>523</v>
      </c>
      <c r="D24" s="7" t="s">
        <v>525</v>
      </c>
      <c r="E24" s="16" t="s">
        <v>516</v>
      </c>
      <c r="F24" s="16" t="s">
        <v>495</v>
      </c>
      <c r="G24" s="16" t="s">
        <v>497</v>
      </c>
    </row>
    <row r="25" spans="1:11" x14ac:dyDescent="0.65">
      <c r="A25" s="353">
        <f>'Tribal Measure Tool'!$H$34</f>
        <v>0</v>
      </c>
      <c r="B25" s="8">
        <f>'Tribal Measure Tool'!$E$34</f>
        <v>0</v>
      </c>
      <c r="C25" s="341">
        <v>0.05</v>
      </c>
      <c r="E25" s="159">
        <f>A25*C25*B25</f>
        <v>0</v>
      </c>
      <c r="F25" s="154" t="e">
        <f>E25/'Tribal Measure Tool'!E34</f>
        <v>#DIV/0!</v>
      </c>
      <c r="G25" s="154" t="e">
        <f>F25*'Tribal Measure Tool'!F34</f>
        <v>#DIV/0!</v>
      </c>
    </row>
    <row r="26" spans="1:11" x14ac:dyDescent="0.65">
      <c r="A26" s="470">
        <v>0.5</v>
      </c>
      <c r="B26" s="576" t="e">
        <f>SUM('Tool Reference'!#REF!)</f>
        <v>#REF!</v>
      </c>
      <c r="C26" s="470">
        <v>0.05</v>
      </c>
      <c r="E26" s="522" t="e">
        <f>A26*C26*B26</f>
        <v>#REF!</v>
      </c>
    </row>
    <row r="28" spans="1:11" x14ac:dyDescent="0.65">
      <c r="A28" t="s">
        <v>830</v>
      </c>
    </row>
    <row r="29" spans="1:11" x14ac:dyDescent="0.65">
      <c r="A29" t="s">
        <v>828</v>
      </c>
      <c r="C29" t="s">
        <v>831</v>
      </c>
    </row>
    <row r="30" spans="1:11" x14ac:dyDescent="0.65">
      <c r="A30" t="s">
        <v>829</v>
      </c>
    </row>
    <row r="32" spans="1:11" ht="18.5" x14ac:dyDescent="0.65">
      <c r="A32" s="1578" t="s">
        <v>1050</v>
      </c>
      <c r="B32" s="1579"/>
      <c r="C32" s="1579"/>
      <c r="D32" s="1579"/>
      <c r="E32" s="1579"/>
      <c r="F32" s="1579"/>
      <c r="G32" s="1579"/>
      <c r="H32" s="1579"/>
      <c r="I32" s="1579"/>
      <c r="J32" s="1579"/>
      <c r="K32" s="1579"/>
    </row>
    <row r="33" spans="1:12" ht="72.5" x14ac:dyDescent="0.7">
      <c r="A33" s="1" t="s">
        <v>866</v>
      </c>
      <c r="B33" s="1" t="s">
        <v>863</v>
      </c>
      <c r="C33" s="16" t="s">
        <v>518</v>
      </c>
      <c r="D33" s="16" t="s">
        <v>867</v>
      </c>
      <c r="E33" s="16" t="s">
        <v>868</v>
      </c>
      <c r="F33" s="16" t="s">
        <v>869</v>
      </c>
      <c r="G33" s="340" t="s">
        <v>521</v>
      </c>
      <c r="H33" s="16" t="s">
        <v>876</v>
      </c>
      <c r="J33" s="586" t="s">
        <v>998</v>
      </c>
    </row>
    <row r="34" spans="1:12" ht="14.5" x14ac:dyDescent="0.7">
      <c r="A34" t="s">
        <v>95</v>
      </c>
      <c r="B34" s="25">
        <f>'Tribal Measure Tool'!H31</f>
        <v>0</v>
      </c>
      <c r="C34" s="10">
        <f>VLOOKUP($B$1,'Tool Reference'!$A$11:K$11,7,FALSE)</f>
        <v>0</v>
      </c>
      <c r="D34" s="10">
        <f>B34*C34</f>
        <v>0</v>
      </c>
      <c r="E34" s="10">
        <f>(D34*Factors!D$74*Factors!N$54)+(Factors!N$24*(D34*G34*Factors!I$204*Factors!N$29))+(Factors!N$25*(D34*G34*Factors!K$204*Factors!N$29))</f>
        <v>0</v>
      </c>
      <c r="F34" s="10">
        <f>(D34*Factors!D78*Factors!N54)+(Factors!N24*(D34*G34*Factors!I228*Factors!N29))+(Factors!N25*(D34*G34*Factors!K228*Factors!N29))</f>
        <v>0</v>
      </c>
      <c r="G34">
        <v>6.2</v>
      </c>
      <c r="H34" s="5">
        <f>E34-F34</f>
        <v>0</v>
      </c>
      <c r="J34" s="535" t="e">
        <f>($D$42*Factors!$D$78*Factors!$N$54)+(Factors!N24*(D42*G34*Factors!I228*Factors!N29))+(Factors!N25*(D42*G34*Factors!K228*Factors!N29))</f>
        <v>#REF!</v>
      </c>
    </row>
    <row r="35" spans="1:12" ht="14.5" x14ac:dyDescent="0.7">
      <c r="A35" t="s">
        <v>321</v>
      </c>
      <c r="B35" s="25">
        <f>'Tribal Measure Tool'!H31</f>
        <v>0</v>
      </c>
      <c r="C35" s="10">
        <f>VLOOKUP($B$1,'Tool Reference'!$A$11:K$11,7,FALSE)</f>
        <v>0</v>
      </c>
      <c r="D35" s="10">
        <f t="shared" ref="D35:D37" si="0">B35*C35</f>
        <v>0</v>
      </c>
      <c r="E35" s="10">
        <f>(D35*Factors!D$74*Factors!N$54)+(Factors!N$24*(D35*G35*Factors!I$204*Factors!N$29))+(Factors!N$25*(D35*G35*Factors!K$204*Factors!N$29))</f>
        <v>0</v>
      </c>
      <c r="F35" s="10">
        <f>(D35*Factors!D77*Factors!N54)+(Factors!N24*(D35*G35*Factors!I229*Factors!N29))+(Factors!N25*(D35*G35*Factors!K229*Factors!N29))</f>
        <v>0</v>
      </c>
      <c r="G35">
        <v>6.2</v>
      </c>
      <c r="H35" s="5">
        <f t="shared" ref="H35:H37" si="1">E35-F35</f>
        <v>0</v>
      </c>
      <c r="J35" s="535" t="e">
        <f>(D42*Factors!D77*Factors!N54)+(Factors!N24*(D42*G35*Factors!I229*Factors!N29))+(Factors!N25*(D42*G35*Factors!K229*Factors!N29))</f>
        <v>#REF!</v>
      </c>
      <c r="L35" s="1222">
        <f>Factors!N63*Factors!P65*Factors!P64*Factors!D73*Factors!N54</f>
        <v>5.374481087137872E-3</v>
      </c>
    </row>
    <row r="36" spans="1:12" ht="14.5" x14ac:dyDescent="0.7">
      <c r="A36" t="s">
        <v>318</v>
      </c>
      <c r="B36" s="25">
        <f>'Tribal Measure Tool'!H31</f>
        <v>0</v>
      </c>
      <c r="C36" s="10">
        <f>VLOOKUP($B$1,'Tool Reference'!$A$11:K$11,7,FALSE)</f>
        <v>0</v>
      </c>
      <c r="D36" s="10">
        <f>B36*C36</f>
        <v>0</v>
      </c>
      <c r="E36" s="10">
        <f>(D36*Factors!D$74*Factors!N$54)+(Factors!N$24*(D36*G36*Factors!I$204*Factors!N$29))+(Factors!N$25*(D36*G36*Factors!K$204*Factors!N$29))</f>
        <v>0</v>
      </c>
      <c r="F36" s="10">
        <f>(D36*Factors!N63*Factors!P65*Factors!P64*Factors!D73*Factors!N54)+(Factors!N24*(D36*G36*Factors!I227*Factors!N29))+(Factors!N25*(D36*G36*Factors!K227*Factors!N29))</f>
        <v>0</v>
      </c>
      <c r="G36">
        <v>6.2</v>
      </c>
      <c r="H36" s="5">
        <f t="shared" si="1"/>
        <v>0</v>
      </c>
      <c r="J36" s="574" t="e">
        <f>(D42*Factors!N63*Factors!P65*Factors!P64*Factors!D73*Factors!N54)+(Factors!N24*(D42*G36*Factors!I227*Factors!N29))+(Factors!N25*(D42*G36*Factors!K227*Factors!N29))</f>
        <v>#REF!</v>
      </c>
    </row>
    <row r="37" spans="1:12" ht="14.5" x14ac:dyDescent="0.7">
      <c r="A37" t="s">
        <v>320</v>
      </c>
      <c r="B37" s="25">
        <f>'Tribal Measure Tool'!H31</f>
        <v>0</v>
      </c>
      <c r="C37" s="10">
        <f>VLOOKUP($B$1,'Tool Reference'!$A$11:K$11,7,FALSE)</f>
        <v>0</v>
      </c>
      <c r="D37" s="10">
        <f t="shared" si="0"/>
        <v>0</v>
      </c>
      <c r="E37" s="10">
        <f>(D37*Factors!D$74*Factors!N$54)+(Factors!N$24*(D37*G37*Factors!I$204*Factors!N$29))+(Factors!N$25*(D37*G37*Factors!K$204*Factors!N$29))</f>
        <v>0</v>
      </c>
      <c r="F37" s="10">
        <f>(D37*Factors!D72*Factors!N54)+(Factors!N24*(D37*G37*Factors!I230*Factors!N29))+(Factors!N25*(D37*G37*Factors!K230*Factors!N29))</f>
        <v>0</v>
      </c>
      <c r="G37">
        <v>6.2</v>
      </c>
      <c r="H37" s="5">
        <f t="shared" si="1"/>
        <v>0</v>
      </c>
      <c r="J37" s="535" t="e">
        <f>(D42*Factors!D72*Factors!N54)+(Factors!N24*(D42*G37*Factors!I230*Factors!N29))+(Factors!N25*(D42*G37*Factors!K230*Factors!N29))</f>
        <v>#REF!</v>
      </c>
    </row>
    <row r="38" spans="1:12" ht="28.75" x14ac:dyDescent="0.7">
      <c r="A38" s="12" t="s">
        <v>938</v>
      </c>
      <c r="B38" s="25"/>
      <c r="C38" s="10"/>
      <c r="D38" s="10"/>
      <c r="E38" s="10"/>
      <c r="F38" s="10">
        <f>AVERAGE(F34:F37)</f>
        <v>0</v>
      </c>
      <c r="H38" s="5"/>
      <c r="J38" s="535" t="e">
        <f>AVERAGE(J34:J37)</f>
        <v>#REF!</v>
      </c>
      <c r="K38" t="s">
        <v>993</v>
      </c>
    </row>
    <row r="39" spans="1:12" x14ac:dyDescent="0.65">
      <c r="E39" s="10"/>
    </row>
    <row r="40" spans="1:12" x14ac:dyDescent="0.65">
      <c r="B40" s="457">
        <f>'Tribal Measure Tool'!H31</f>
        <v>0</v>
      </c>
      <c r="C40">
        <f>VLOOKUP($B$1,'Tool Reference'!$A$11:K$11,7,FALSE)</f>
        <v>0</v>
      </c>
      <c r="D40" s="5">
        <f>B40*C40</f>
        <v>0</v>
      </c>
      <c r="E40" s="10">
        <f>(D40*Factors!D$74*Factors!N$54)+(Factors!N$24*(D40*G40*Factors!I$204*Factors!N$29))+(Factors!N$25*(D40*G40*Factors!K$204*Factors!N$29))</f>
        <v>0</v>
      </c>
      <c r="F40" s="584">
        <f>F38</f>
        <v>0</v>
      </c>
      <c r="G40">
        <v>6.2</v>
      </c>
      <c r="H40" s="5">
        <f>E40-F40</f>
        <v>0</v>
      </c>
      <c r="J40" s="628" t="e">
        <f>(E40-F40)/E40</f>
        <v>#DIV/0!</v>
      </c>
      <c r="K40" t="s">
        <v>1034</v>
      </c>
    </row>
    <row r="41" spans="1:12" x14ac:dyDescent="0.65">
      <c r="E41" s="10"/>
      <c r="H41" s="5"/>
      <c r="J41" s="498" t="e">
        <f>(E42-F42)/E42</f>
        <v>#REF!</v>
      </c>
      <c r="K41" t="s">
        <v>1034</v>
      </c>
    </row>
    <row r="42" spans="1:12" s="498" customFormat="1" x14ac:dyDescent="0.65">
      <c r="B42" s="570">
        <v>1</v>
      </c>
      <c r="C42" s="490" t="e">
        <f>SUM('Tool Reference'!#REF!)</f>
        <v>#REF!</v>
      </c>
      <c r="D42" s="498" t="e">
        <f>B42*C42</f>
        <v>#REF!</v>
      </c>
      <c r="E42" s="535" t="e">
        <f>(D42*Factors!D$74*Factors!N$54)+(Factors!N$24*(D42*G42*Factors!I$204*Factors!N$29))+(Factors!N$25*(D42*G42*Factors!K$204*Factors!N$29))</f>
        <v>#REF!</v>
      </c>
      <c r="F42" s="587" t="e">
        <f>J38</f>
        <v>#REF!</v>
      </c>
      <c r="G42" s="498">
        <v>6.2</v>
      </c>
      <c r="H42" s="536" t="e">
        <f>E42-F42</f>
        <v>#REF!</v>
      </c>
    </row>
    <row r="45" spans="1:12" x14ac:dyDescent="0.65">
      <c r="A45" s="498" t="s">
        <v>1068</v>
      </c>
      <c r="B45" s="651"/>
      <c r="C45" s="498"/>
    </row>
    <row r="46" spans="1:12" ht="43.5" x14ac:dyDescent="0.7">
      <c r="A46" s="16" t="s">
        <v>1091</v>
      </c>
      <c r="B46" s="16" t="s">
        <v>1092</v>
      </c>
      <c r="C46" t="s">
        <v>834</v>
      </c>
      <c r="J46" t="e">
        <f>SUM('Tool Reference'!#REF!)</f>
        <v>#REF!</v>
      </c>
      <c r="K46" t="s">
        <v>1052</v>
      </c>
    </row>
    <row r="47" spans="1:12" x14ac:dyDescent="0.65">
      <c r="A47" s="522" t="e">
        <f>K7</f>
        <v>#REF!</v>
      </c>
      <c r="B47" s="536" t="e">
        <f>H42</f>
        <v>#REF!</v>
      </c>
      <c r="C47" s="490" t="e">
        <f>AVERAGE(A47:B47)</f>
        <v>#REF!</v>
      </c>
      <c r="J47" s="159" t="e">
        <f>I7</f>
        <v>#REF!</v>
      </c>
      <c r="K47" t="s">
        <v>1051</v>
      </c>
    </row>
    <row r="48" spans="1:12" x14ac:dyDescent="0.65">
      <c r="B48"/>
      <c r="J48" s="628" t="e">
        <f>(J46-J47)/J46</f>
        <v>#REF!</v>
      </c>
    </row>
  </sheetData>
  <mergeCells count="8">
    <mergeCell ref="A32:K32"/>
    <mergeCell ref="A23:K23"/>
    <mergeCell ref="D1:I1"/>
    <mergeCell ref="A3:K3"/>
    <mergeCell ref="A8:K8"/>
    <mergeCell ref="A13:K13"/>
    <mergeCell ref="A18:K18"/>
    <mergeCell ref="B1:C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FormConfiguration><![CDATA[{"formFields":[],"formDataEntries":[]}]]></TemplafyFormConfiguration>
</file>

<file path=customXml/item2.xml><?xml version="1.0" encoding="utf-8"?>
<ct:contentTypeSchema xmlns:ct="http://schemas.microsoft.com/office/2006/metadata/contentType" xmlns:ma="http://schemas.microsoft.com/office/2006/metadata/properties/metaAttributes" ct:_="" ma:_="" ma:contentTypeName="Data and Document" ma:contentTypeID="0x0101002392094CBAD04C3AB0B65532217FA45A01001E76BB84631D06478D57FB76CFC84F6F" ma:contentTypeVersion="14" ma:contentTypeDescription="" ma:contentTypeScope="" ma:versionID="ae75bcac966a8621b3050c4c86e16677">
  <xsd:schema xmlns:xsd="http://www.w3.org/2001/XMLSchema" xmlns:xs="http://www.w3.org/2001/XMLSchema" xmlns:p="http://schemas.microsoft.com/office/2006/metadata/properties" xmlns:ns2="fe99e9c8-579b-4374-b04a-617450153977" xmlns:ns3="07964372-5c40-4e74-910a-bd4ecad7f712" targetNamespace="http://schemas.microsoft.com/office/2006/metadata/properties" ma:root="true" ma:fieldsID="31f365522edbe00bdde130aaaa4e022c" ns2:_="" ns3:_="">
    <xsd:import namespace="fe99e9c8-579b-4374-b04a-617450153977"/>
    <xsd:import namespace="07964372-5c40-4e74-910a-bd4ecad7f712"/>
    <xsd:element name="properties">
      <xsd:complexType>
        <xsd:sequence>
          <xsd:element name="documentManagement">
            <xsd:complexType>
              <xsd:all>
                <xsd:element ref="ns2:CO_Description" minOccurs="0"/>
                <xsd:element ref="ns2:m720c857f92247b4b2f03df6cb5d2bc9" minOccurs="0"/>
                <xsd:element ref="ns2:TaxCatchAll" minOccurs="0"/>
                <xsd:element ref="ns2:TaxCatchAllLabel" minOccurs="0"/>
                <xsd:element ref="ns2:nc695c5aeb184e52bf78fb52672e0b9d" minOccurs="0"/>
                <xsd:element ref="ns2:ja38ea1158ed452e9308a795972805b9" minOccurs="0"/>
                <xsd:element ref="ns2:o9707bc871d6428696dc7fdce2fc1966" minOccurs="0"/>
                <xsd:element ref="ns2:Arup_TeamSpaceProjectStage" minOccurs="0"/>
                <xsd:element ref="ns2:Arup_TeamSpaceDocumentStatus" minOccurs="0"/>
                <xsd:element ref="ns2:Arup_TeamSpaceWorkstreamInternal" minOccurs="0"/>
                <xsd:element ref="ns2:Arup_TeamSpaceMustRead" minOccurs="0"/>
                <xsd:element ref="ns2:Arup_TeamSpaceDeliverable" minOccurs="0"/>
                <xsd:element ref="ns2:TeamSpaceRevision"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99e9c8-579b-4374-b04a-617450153977" elementFormDefault="qualified">
    <xsd:import namespace="http://schemas.microsoft.com/office/2006/documentManagement/types"/>
    <xsd:import namespace="http://schemas.microsoft.com/office/infopath/2007/PartnerControls"/>
    <xsd:element name="CO_Description" ma:index="8" nillable="true" ma:displayName="Description" ma:internalName="CO_Description">
      <xsd:simpleType>
        <xsd:restriction base="dms:Note"/>
      </xsd:simpleType>
    </xsd:element>
    <xsd:element name="m720c857f92247b4b2f03df6cb5d2bc9" ma:index="9" nillable="true" ma:taxonomy="true" ma:internalName="m720c857f92247b4b2f03df6cb5d2bc9" ma:taxonomyFieldName="Arup_Tags" ma:displayName="Tags" ma:fieldId="{6720c857-f922-47b4-b2f0-3df6cb5d2bc9}" ma:taxonomyMulti="true" ma:sspId="00000000-0000-0000-0000-000000000000" ma:termSetId="00000000-0000-0000-0000-000000000000" ma:anchorId="00000000-0000-0000-0000-000000000000" ma:open="true" ma:isKeyword="false">
      <xsd:complexType>
        <xsd:sequence>
          <xsd:element ref="pc:Terms" minOccurs="0" maxOccurs="1"/>
        </xsd:sequence>
      </xsd:complexType>
    </xsd:element>
    <xsd:element name="TaxCatchAll" ma:index="10" nillable="true" ma:displayName="Taxonomy Catch All Column" ma:hidden="true" ma:list="{1163ff24-f211-41f5-af25-9edd7d0816b2}" ma:internalName="TaxCatchAll" ma:showField="CatchAllData" ma:web="fe99e9c8-579b-4374-b04a-61745015397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1163ff24-f211-41f5-af25-9edd7d0816b2}" ma:internalName="TaxCatchAllLabel" ma:readOnly="true" ma:showField="CatchAllDataLabel" ma:web="fe99e9c8-579b-4374-b04a-617450153977">
      <xsd:complexType>
        <xsd:complexContent>
          <xsd:extension base="dms:MultiChoiceLookup">
            <xsd:sequence>
              <xsd:element name="Value" type="dms:Lookup" maxOccurs="unbounded" minOccurs="0" nillable="true"/>
            </xsd:sequence>
          </xsd:extension>
        </xsd:complexContent>
      </xsd:complexType>
    </xsd:element>
    <xsd:element name="nc695c5aeb184e52bf78fb52672e0b9d" ma:index="13" nillable="true" ma:taxonomy="true" ma:internalName="nc695c5aeb184e52bf78fb52672e0b9d" ma:taxonomyFieldName="CO_Communities" ma:displayName="Community" ma:fieldId="{7c695c5a-eb18-4e52-bf78-fb52672e0b9d}" ma:taxonomyMulti="true" ma:sspId="00000000-0000-0000-0000-000000000000" ma:termSetId="00000000-0000-0000-0000-000000000000" ma:anchorId="00000000-0000-0000-0000-000000000000" ma:open="true" ma:isKeyword="false">
      <xsd:complexType>
        <xsd:sequence>
          <xsd:element ref="pc:Terms" minOccurs="0" maxOccurs="1"/>
        </xsd:sequence>
      </xsd:complexType>
    </xsd:element>
    <xsd:element name="ja38ea1158ed452e9308a795972805b9" ma:index="15" nillable="true" ma:taxonomy="true" ma:internalName="ja38ea1158ed452e9308a795972805b9" ma:taxonomyFieldName="CO_Topics" ma:displayName="Topic" ma:fieldId="{3a38ea11-58ed-452e-9308-a795972805b9}" ma:taxonomyMulti="true" ma:sspId="00000000-0000-0000-0000-000000000000" ma:termSetId="00000000-0000-0000-0000-000000000000" ma:anchorId="00000000-0000-0000-0000-000000000000" ma:open="true" ma:isKeyword="false">
      <xsd:complexType>
        <xsd:sequence>
          <xsd:element ref="pc:Terms" minOccurs="0" maxOccurs="1"/>
        </xsd:sequence>
      </xsd:complexType>
    </xsd:element>
    <xsd:element name="o9707bc871d6428696dc7fdce2fc1966" ma:index="17" nillable="true" ma:taxonomy="true" ma:internalName="o9707bc871d6428696dc7fdce2fc1966" ma:taxonomyFieldName="Arup_TypeOfContent" ma:displayName="Content Category" ma:fieldId="{89707bc8-71d6-4286-96dc-7fdce2fc1966}"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Arup_TeamSpaceProjectStage" ma:index="19" nillable="true" ma:displayName="Project Stage" ma:format="Dropdown" ma:internalName="Arup_TeamSpaceProjectStage">
      <xsd:simpleType>
        <xsd:restriction base="dms:Choice">
          <xsd:enumeration value="Not Specified"/>
          <xsd:enumeration value="Concept"/>
          <xsd:enumeration value="Scheme"/>
          <xsd:enumeration value="Detailed Design"/>
          <xsd:enumeration value="Tender"/>
          <xsd:enumeration value="Construction"/>
          <xsd:enumeration value="Handover"/>
          <xsd:enumeration value="As-Built"/>
        </xsd:restriction>
      </xsd:simpleType>
    </xsd:element>
    <xsd:element name="Arup_TeamSpaceDocumentStatus" ma:index="20" nillable="true" ma:displayName="Status" ma:format="Dropdown" ma:internalName="Arup_TeamSpaceDocumentStatus">
      <xsd:simpleType>
        <xsd:restriction base="dms:Choice">
          <xsd:enumeration value="Draft"/>
          <xsd:enumeration value="Issued"/>
        </xsd:restriction>
      </xsd:simpleType>
    </xsd:element>
    <xsd:element name="Arup_TeamSpaceWorkstreamInternal" ma:index="21" nillable="true" ma:displayName="Workstream" ma:format="Dropdown" ma:internalName="Arup_TeamSpaceWorkstreamInternal">
      <xsd:simpleType>
        <xsd:restriction base="dms:Choice">
          <xsd:enumeration value="Architecture"/>
          <xsd:enumeration value="Structures"/>
          <xsd:enumeration value="MEP"/>
          <xsd:enumeration value="Rail"/>
          <xsd:enumeration value="Highways and Civils"/>
          <xsd:enumeration value="Commission &amp; Scope"/>
          <xsd:enumeration value="Costs &amp; Fees"/>
          <xsd:enumeration value="Health &amp; Safety"/>
          <xsd:enumeration value="Project Controls"/>
          <xsd:enumeration value="Schedule"/>
          <xsd:enumeration value="Team"/>
          <xsd:enumeration value="Quality Assurance"/>
        </xsd:restriction>
      </xsd:simpleType>
    </xsd:element>
    <xsd:element name="Arup_TeamSpaceMustRead" ma:index="22" nillable="true" ma:displayName="Must Read" ma:default="0" ma:description="Indicates that the current document is important and must be read. This may take up to 15 minutes to appear in the 'Must Read' panel" ma:internalName="Arup_TeamSpaceMustRead">
      <xsd:simpleType>
        <xsd:restriction base="dms:Boolean"/>
      </xsd:simpleType>
    </xsd:element>
    <xsd:element name="Arup_TeamSpaceDeliverable" ma:index="23" nillable="true" ma:displayName="Deliverable" ma:default="0" ma:internalName="Arup_TeamSpaceDeliverable">
      <xsd:simpleType>
        <xsd:restriction base="dms:Boolean"/>
      </xsd:simpleType>
    </xsd:element>
    <xsd:element name="TeamSpaceRevision" ma:index="24" nillable="true" ma:displayName="Revision" ma:description="User-editable version number" ma:internalName="TeamSpaceRevision">
      <xsd:simpleType>
        <xsd:restriction base="dms:Text">
          <xsd:maxLength value="255"/>
        </xsd:restrictio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964372-5c40-4e74-910a-bd4ecad7f712"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TemplafyTemplateConfiguration><![CDATA[{"transformationConfigurations":[{"colorTheme":"{{DataSources.ColorThemes[\"Arup\"].ColorTheme}}","disableUpdates":false,"type":"colorTheme"}],"templateName":"Arup Blank","templateDescription":"","enableDocumentContentUpdater":false,"version":"2.0"}]]></TemplafyTemplateConfiguratio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nc695c5aeb184e52bf78fb52672e0b9d xmlns="fe99e9c8-579b-4374-b04a-617450153977">
      <Terms xmlns="http://schemas.microsoft.com/office/infopath/2007/PartnerControls"/>
    </nc695c5aeb184e52bf78fb52672e0b9d>
    <TeamSpaceRevision xmlns="fe99e9c8-579b-4374-b04a-617450153977" xsi:nil="true"/>
    <Arup_TeamSpaceProjectStage xmlns="fe99e9c8-579b-4374-b04a-617450153977" xsi:nil="true"/>
    <m720c857f92247b4b2f03df6cb5d2bc9 xmlns="fe99e9c8-579b-4374-b04a-617450153977">
      <Terms xmlns="http://schemas.microsoft.com/office/infopath/2007/PartnerControls"/>
    </m720c857f92247b4b2f03df6cb5d2bc9>
    <Arup_TeamSpaceWorkstreamInternal xmlns="fe99e9c8-579b-4374-b04a-617450153977" xsi:nil="true"/>
    <Arup_TeamSpaceDeliverable xmlns="fe99e9c8-579b-4374-b04a-617450153977">false</Arup_TeamSpaceDeliverable>
    <TaxCatchAll xmlns="fe99e9c8-579b-4374-b04a-617450153977" xsi:nil="true"/>
    <Arup_TeamSpaceMustRead xmlns="fe99e9c8-579b-4374-b04a-617450153977">false</Arup_TeamSpaceMustRead>
    <ja38ea1158ed452e9308a795972805b9 xmlns="fe99e9c8-579b-4374-b04a-617450153977">
      <Terms xmlns="http://schemas.microsoft.com/office/infopath/2007/PartnerControls"/>
    </ja38ea1158ed452e9308a795972805b9>
    <CO_Description xmlns="fe99e9c8-579b-4374-b04a-617450153977" xsi:nil="true"/>
    <o9707bc871d6428696dc7fdce2fc1966 xmlns="fe99e9c8-579b-4374-b04a-617450153977">
      <Terms xmlns="http://schemas.microsoft.com/office/infopath/2007/PartnerControls"/>
    </o9707bc871d6428696dc7fdce2fc1966>
    <Arup_TeamSpaceDocumentStatus xmlns="fe99e9c8-579b-4374-b04a-617450153977" xsi:nil="true"/>
  </documentManagement>
</p:properties>
</file>

<file path=customXml/itemProps1.xml><?xml version="1.0" encoding="utf-8"?>
<ds:datastoreItem xmlns:ds="http://schemas.openxmlformats.org/officeDocument/2006/customXml" ds:itemID="{62CB8C1F-D40D-4C86-BB4B-0CF96D922D6C}">
  <ds:schemaRefs/>
</ds:datastoreItem>
</file>

<file path=customXml/itemProps2.xml><?xml version="1.0" encoding="utf-8"?>
<ds:datastoreItem xmlns:ds="http://schemas.openxmlformats.org/officeDocument/2006/customXml" ds:itemID="{EE6831D6-6814-4D61-A5C4-4611BDD64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99e9c8-579b-4374-b04a-617450153977"/>
    <ds:schemaRef ds:uri="07964372-5c40-4e74-910a-bd4ecad7f7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9C169C-5B71-4139-B067-6BD7D31FA149}">
  <ds:schemaRefs/>
</ds:datastoreItem>
</file>

<file path=customXml/itemProps4.xml><?xml version="1.0" encoding="utf-8"?>
<ds:datastoreItem xmlns:ds="http://schemas.openxmlformats.org/officeDocument/2006/customXml" ds:itemID="{09BAB72C-8397-4CA8-848D-5A05583AA5A2}">
  <ds:schemaRefs>
    <ds:schemaRef ds:uri="http://schemas.microsoft.com/sharepoint/v3/contenttype/forms"/>
  </ds:schemaRefs>
</ds:datastoreItem>
</file>

<file path=customXml/itemProps5.xml><?xml version="1.0" encoding="utf-8"?>
<ds:datastoreItem xmlns:ds="http://schemas.openxmlformats.org/officeDocument/2006/customXml" ds:itemID="{5B0885F6-8736-47BF-80AF-6A987E58DA33}">
  <ds:schemaRefs>
    <ds:schemaRef ds:uri="http://purl.org/dc/dcmitype/"/>
    <ds:schemaRef ds:uri="http://schemas.microsoft.com/office/infopath/2007/PartnerControls"/>
    <ds:schemaRef ds:uri="http://purl.org/dc/terms/"/>
    <ds:schemaRef ds:uri="fe99e9c8-579b-4374-b04a-617450153977"/>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07964372-5c40-4e74-910a-bd4ecad7f712"/>
    <ds:schemaRef ds:uri="http://purl.org/dc/elements/1.1/"/>
  </ds:schemaRefs>
</ds:datastoreItem>
</file>

<file path=docMetadata/LabelInfo.xml><?xml version="1.0" encoding="utf-8"?>
<clbl:labelList xmlns:clbl="http://schemas.microsoft.com/office/2020/mipLabelMetadata">
  <clbl:label id="{82fa3fd3-029b-403d-91b4-1dc930cb0e60}" enabled="1" method="Privileged" siteId="{4ae48b41-0137-4599-8661-fc641fe77be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Tribal Measure Tool</vt:lpstr>
      <vt:lpstr>Tool Reference</vt:lpstr>
      <vt:lpstr>Tribal Baseline GHG Graphs</vt:lpstr>
      <vt:lpstr>Tribal Baseline Graphs_full</vt:lpstr>
      <vt:lpstr>Summary PCAP Table</vt:lpstr>
      <vt:lpstr>Summary PCAP Cost Data</vt:lpstr>
      <vt:lpstr>Cost Data</vt:lpstr>
      <vt:lpstr>Buildings</vt:lpstr>
      <vt:lpstr>Transportation</vt:lpstr>
      <vt:lpstr>Infrastructure</vt:lpstr>
      <vt:lpstr>Renewables_OLD</vt:lpstr>
      <vt:lpstr>Renewables</vt:lpstr>
      <vt:lpstr>Land Use</vt:lpstr>
      <vt:lpstr>Factors</vt:lpstr>
      <vt:lpstr>GHG Reduction Measures</vt:lpstr>
      <vt:lpstr>'Cost Data'!_FilterDatabase</vt:lpstr>
      <vt:lpstr>'Summary PCAP Cost Data'!_FilterDatabase</vt:lpstr>
      <vt:lpstr>'Tribal Measure Tool'!_FilterDatabase</vt:lpstr>
      <vt:lpstr>Population</vt:lpstr>
      <vt:lpstr>'Summary PCAP Table'!Print_Area</vt:lpstr>
      <vt:lpstr>State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Anuradha Kadam</dc:creator>
  <cp:keywords/>
  <dc:description/>
  <cp:lastModifiedBy>Dominic Molinari</cp:lastModifiedBy>
  <cp:revision/>
  <dcterms:created xsi:type="dcterms:W3CDTF">2023-11-20T14:26:14Z</dcterms:created>
  <dcterms:modified xsi:type="dcterms:W3CDTF">2025-01-31T22:31:26Z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a3fd3-029b-403d-91b4-1dc930cb0e60_Enabled">
    <vt:lpwstr>true</vt:lpwstr>
  </property>
  <property fmtid="{D5CDD505-2E9C-101B-9397-08002B2CF9AE}" pid="3" name="MSIP_Label_82fa3fd3-029b-403d-91b4-1dc930cb0e60_SetDate">
    <vt:lpwstr>2022-03-01T21:00:43Z</vt:lpwstr>
  </property>
  <property fmtid="{D5CDD505-2E9C-101B-9397-08002B2CF9AE}" pid="4" name="MSIP_Label_82fa3fd3-029b-403d-91b4-1dc930cb0e60_Method">
    <vt:lpwstr>Privileged</vt:lpwstr>
  </property>
  <property fmtid="{D5CDD505-2E9C-101B-9397-08002B2CF9AE}" pid="5" name="MSIP_Label_82fa3fd3-029b-403d-91b4-1dc930cb0e60_Name">
    <vt:lpwstr>82fa3fd3-029b-403d-91b4-1dc930cb0e60</vt:lpwstr>
  </property>
  <property fmtid="{D5CDD505-2E9C-101B-9397-08002B2CF9AE}" pid="6" name="MSIP_Label_82fa3fd3-029b-403d-91b4-1dc930cb0e60_SiteId">
    <vt:lpwstr>4ae48b41-0137-4599-8661-fc641fe77bea</vt:lpwstr>
  </property>
  <property fmtid="{D5CDD505-2E9C-101B-9397-08002B2CF9AE}" pid="7" name="MSIP_Label_82fa3fd3-029b-403d-91b4-1dc930cb0e60_ActionId">
    <vt:lpwstr>fe0e749a-613b-4eba-a7c1-9cad1fe1868c</vt:lpwstr>
  </property>
  <property fmtid="{D5CDD505-2E9C-101B-9397-08002B2CF9AE}" pid="8" name="MSIP_Label_82fa3fd3-029b-403d-91b4-1dc930cb0e60_ContentBits">
    <vt:lpwstr>0</vt:lpwstr>
  </property>
  <property fmtid="{D5CDD505-2E9C-101B-9397-08002B2CF9AE}" pid="9" name="TemplafyTenantId">
    <vt:lpwstr>arup</vt:lpwstr>
  </property>
  <property fmtid="{D5CDD505-2E9C-101B-9397-08002B2CF9AE}" pid="10" name="TemplafyTemplateId">
    <vt:lpwstr>638203440029340818</vt:lpwstr>
  </property>
  <property fmtid="{D5CDD505-2E9C-101B-9397-08002B2CF9AE}" pid="11" name="TemplafyUserProfileId">
    <vt:lpwstr>638255991556096553</vt:lpwstr>
  </property>
  <property fmtid="{D5CDD505-2E9C-101B-9397-08002B2CF9AE}" pid="12" name="TemplafyLanguageCode">
    <vt:lpwstr>en-US</vt:lpwstr>
  </property>
  <property fmtid="{D5CDD505-2E9C-101B-9397-08002B2CF9AE}" pid="13" name="TemplafyFromBlank">
    <vt:bool>true</vt:bool>
  </property>
  <property fmtid="{D5CDD505-2E9C-101B-9397-08002B2CF9AE}" pid="14" name="Arup_Tags">
    <vt:lpwstr/>
  </property>
  <property fmtid="{D5CDD505-2E9C-101B-9397-08002B2CF9AE}" pid="15" name="MediaServiceImageTags">
    <vt:lpwstr/>
  </property>
  <property fmtid="{D5CDD505-2E9C-101B-9397-08002B2CF9AE}" pid="16" name="ContentTypeId">
    <vt:lpwstr>0x0101002392094CBAD04C3AB0B65532217FA45A01001E76BB84631D06478D57FB76CFC84F6F</vt:lpwstr>
  </property>
  <property fmtid="{D5CDD505-2E9C-101B-9397-08002B2CF9AE}" pid="17" name="CO_Topics">
    <vt:lpwstr/>
  </property>
  <property fmtid="{D5CDD505-2E9C-101B-9397-08002B2CF9AE}" pid="18" name="Arup_TypeOfContent">
    <vt:lpwstr/>
  </property>
  <property fmtid="{D5CDD505-2E9C-101B-9397-08002B2CF9AE}" pid="19" name="CO_Communities">
    <vt:lpwstr/>
  </property>
</Properties>
</file>